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'List1'!$A$1:$O$366</definedName>
  </definedNames>
  <calcPr fullCalcOnLoad="1"/>
</workbook>
</file>

<file path=xl/sharedStrings.xml><?xml version="1.0" encoding="utf-8"?>
<sst xmlns="http://schemas.openxmlformats.org/spreadsheetml/2006/main" count="373" uniqueCount="313">
  <si>
    <t>KONTO</t>
  </si>
  <si>
    <t>NAZIV KONTA</t>
  </si>
  <si>
    <t>SVEGA</t>
  </si>
  <si>
    <t>Doprinos za zdravstveno osiguranje</t>
  </si>
  <si>
    <t>Prevoz na posao I sa posla-markice</t>
  </si>
  <si>
    <t>Otpremnina prilikom odlaska u penz.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</si>
  <si>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</si>
  <si>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</si>
  <si>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</si>
  <si>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</si>
  <si>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</si>
  <si>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</si>
  <si>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</si>
  <si>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Usluge dostave</t>
  </si>
  <si>
    <t>Osiguranje vozila</t>
  </si>
  <si>
    <t>Osiguranje opreme</t>
  </si>
  <si>
    <t>Ostali tros.za pos.put.u zem.-putarine</t>
  </si>
  <si>
    <t>Ostale kompjuterske usluge</t>
  </si>
  <si>
    <t>Usluge obrazovanja I usavr.zaposlenih</t>
  </si>
  <si>
    <t>Usluge informisanja javnosti</t>
  </si>
  <si>
    <t>Reprezentacija</t>
  </si>
  <si>
    <t>Ostale opste usluge</t>
  </si>
  <si>
    <t>Stolarski radovi</t>
  </si>
  <si>
    <t>Radovi na vodovodu I kanalizaciji</t>
  </si>
  <si>
    <t>Elektricne instalacije</t>
  </si>
  <si>
    <t>Mehanicke popravke-vozila</t>
  </si>
  <si>
    <t>Limarski radovi na vozilima</t>
  </si>
  <si>
    <t>Kancelarijski materijal</t>
  </si>
  <si>
    <t>Strucna literatura za red.pot.zaposle.</t>
  </si>
  <si>
    <t>Benzin</t>
  </si>
  <si>
    <t xml:space="preserve">Ulja I maziva </t>
  </si>
  <si>
    <t>Ostali materijal za prevozna sredastva</t>
  </si>
  <si>
    <t>Materijal za med.testove-sanitet.mat.</t>
  </si>
  <si>
    <t>Materijal za laboratorijske testove</t>
  </si>
  <si>
    <t>Hemijska sredstva za ciscenje</t>
  </si>
  <si>
    <t>Inventar za odrzavanje higijene</t>
  </si>
  <si>
    <t>Ostali materijal za odrzavanje higijene</t>
  </si>
  <si>
    <t>Alat I inventar</t>
  </si>
  <si>
    <t>Ostali materijal posebne namene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</si>
  <si>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</si>
  <si>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</si>
  <si>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</si>
  <si>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</si>
  <si>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</si>
  <si>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</si>
  <si>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</si>
  <si>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</si>
  <si>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Plate dodaci I naknade zaposlenih</t>
  </si>
  <si>
    <t>Doprinos za PIO</t>
  </si>
  <si>
    <t>Doprinos za nezaposlenost</t>
  </si>
  <si>
    <t>Otpremnine I pomoci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</si>
  <si>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</si>
  <si>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</si>
  <si>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</si>
  <si>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</si>
  <si>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</si>
  <si>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</si>
  <si>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</si>
  <si>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</si>
  <si>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</si>
  <si>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</si>
  <si>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</si>
  <si>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</si>
  <si>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</si>
  <si>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</si>
  <si>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</si>
  <si>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</si>
  <si>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</si>
  <si>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</si>
  <si>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</si>
  <si>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Transf.izm.bud.kor.na ist.nivou-RZZO</t>
  </si>
  <si>
    <t>Pokloni za decu zaposlenih</t>
  </si>
  <si>
    <t>Pomoć u med.lečenju zapos.ili člana uže porodice</t>
  </si>
  <si>
    <t>Nagrade zaposlenima i ostali posebni rashodi</t>
  </si>
  <si>
    <t>Pošta</t>
  </si>
  <si>
    <t>Osiguranje zgrada</t>
  </si>
  <si>
    <t>Usluge javnog zdravstva-inspekcija i analiza</t>
  </si>
  <si>
    <t>Zidarska radovi</t>
  </si>
  <si>
    <t>Molersko radovi</t>
  </si>
  <si>
    <t>Ostale usluge komunikacije</t>
  </si>
  <si>
    <t>Izdaci za strucne ispite-clan.kom.i drugo</t>
  </si>
  <si>
    <t>Ostale usluge i materijal za tek.popravke</t>
  </si>
  <si>
    <t>Materijal za med.testove-RO mat.</t>
  </si>
  <si>
    <t>Prihodi od zakupa-Kopaonik</t>
  </si>
  <si>
    <t>Prihodi od zakupa-ostali zakupi</t>
  </si>
  <si>
    <t>Usluge čišćenja</t>
  </si>
  <si>
    <t>Ugradna oprema</t>
  </si>
  <si>
    <t>Nameštaj</t>
  </si>
  <si>
    <t>Računarska oprema</t>
  </si>
  <si>
    <t>RASHODI I IZDACI</t>
  </si>
  <si>
    <t>PRIHODI I PRIMANJA</t>
  </si>
  <si>
    <t>Deratizacija</t>
  </si>
  <si>
    <t>Novčane kazne i penali po rešenju sudova</t>
  </si>
  <si>
    <t>Participacija</t>
  </si>
  <si>
    <t>Sopstveni</t>
  </si>
  <si>
    <t>Kopaonik</t>
  </si>
  <si>
    <t>Bolovanja i invalidi rada</t>
  </si>
  <si>
    <t>Pomoc u sl.smrti zaposl.ili člana uže porodice</t>
  </si>
  <si>
    <t>Doprinos za korišćenje voda</t>
  </si>
  <si>
    <t>Osiguranje zaposlenih u sl.nesreće na radu</t>
  </si>
  <si>
    <t>Kotizacija za seminare</t>
  </si>
  <si>
    <t>Objavljivanje tendera I informativnih oglasa</t>
  </si>
  <si>
    <t>Popravke elektricne I elektronske opreme</t>
  </si>
  <si>
    <t>Ostale popravke i održavanje opreme</t>
  </si>
  <si>
    <t xml:space="preserve">Tekuce poprav.I održavanje medicinske opreme </t>
  </si>
  <si>
    <t>Tekuce popr.i održavanje opr.za javnu bezbednost</t>
  </si>
  <si>
    <t xml:space="preserve">Tek.pop.i odr.proiz.motor.nepo.nem.opreme </t>
  </si>
  <si>
    <t>Grad-Opština</t>
  </si>
  <si>
    <t>Oprema za domaćinstvo i ugostiteljstvo</t>
  </si>
  <si>
    <t xml:space="preserve">Elektronska i fotografska oprema </t>
  </si>
  <si>
    <t>Amortizacija nemater.imovine</t>
  </si>
  <si>
    <t>Prih.od imovine koja prip.imao.polise</t>
  </si>
  <si>
    <t>Tekuće popravke i odr.laborator.opreme</t>
  </si>
  <si>
    <t>Ostale strucne usluge-Ug.o delu</t>
  </si>
  <si>
    <t>Pravno zastupanje pred domaćim sudovima</t>
  </si>
  <si>
    <t>Republičke kazne</t>
  </si>
  <si>
    <t xml:space="preserve">Novčane kazne </t>
  </si>
  <si>
    <t>Birotehnička oprema</t>
  </si>
  <si>
    <t>Potrošni materijal</t>
  </si>
  <si>
    <t>Ostale pomoći zaposlenim radnicima</t>
  </si>
  <si>
    <t>Tekuće popravke i održavanje ostalih objekata</t>
  </si>
  <si>
    <t>Ostale naknade štete</t>
  </si>
  <si>
    <t xml:space="preserve">Donacije </t>
  </si>
  <si>
    <t>% REALIZACIJE PLANA</t>
  </si>
  <si>
    <t>Sredstva osiguranja</t>
  </si>
  <si>
    <t>Pazari primarne</t>
  </si>
  <si>
    <t>RFZO</t>
  </si>
  <si>
    <t>IZDACI</t>
  </si>
  <si>
    <t>STALNI TROŠKOVI</t>
  </si>
  <si>
    <t>TROŠKOVI PUTOVANJA</t>
  </si>
  <si>
    <t>USLUGE PO UGOVORU</t>
  </si>
  <si>
    <t>SPECIJALIZOVANE USLUGE</t>
  </si>
  <si>
    <t xml:space="preserve">TEKUĆE POPRAVKE I ODRŽAVANJE </t>
  </si>
  <si>
    <t>MATERIJAL</t>
  </si>
  <si>
    <t>AMORTIZACIJA</t>
  </si>
  <si>
    <t>OTPLATA KAMATA I PRATEĆI TROŠKOVI</t>
  </si>
  <si>
    <t>OSTALI RASHODI</t>
  </si>
  <si>
    <t>SOCIJALNA DAVANJA ZAPOSLENIMA</t>
  </si>
  <si>
    <t>Naknade troskova za zaposlene- PREVOZ NA RAD</t>
  </si>
  <si>
    <t>UKUPNO PLATE SA SOC.DOPRINOSIMA</t>
  </si>
  <si>
    <t>Naknade u naturi (markice za prevoz i pokloni za decu)</t>
  </si>
  <si>
    <t>struktura rashoda  u %</t>
  </si>
  <si>
    <t>struktura  ostvarenih prihodau %</t>
  </si>
  <si>
    <t>Prih.od pr.dob.i usl.</t>
  </si>
  <si>
    <t>REKAPITULACIJA</t>
  </si>
  <si>
    <t>SVEGA RASHODI I IZDACI</t>
  </si>
  <si>
    <t>FINANSIJSKI REZULTAT</t>
  </si>
  <si>
    <t>FINANSIJSKI REZULTAT POSLE KOREKCIJE</t>
  </si>
  <si>
    <t xml:space="preserve">Naknade štete </t>
  </si>
  <si>
    <t>Porezi, takse i kazne</t>
  </si>
  <si>
    <t>OPREMA</t>
  </si>
  <si>
    <t>411000 i 412000</t>
  </si>
  <si>
    <t>482000,483000 485000</t>
  </si>
  <si>
    <t>RZZO</t>
  </si>
  <si>
    <t>Sredstva osiguranja-Sava,Dunav</t>
  </si>
  <si>
    <t xml:space="preserve">Bolovanja </t>
  </si>
  <si>
    <t>Bud. Repub.-ministarstvo</t>
  </si>
  <si>
    <t>Plate po osnovu cene rada</t>
  </si>
  <si>
    <t>Dodat.za rad duzi od punog rad.vreme.</t>
  </si>
  <si>
    <t>Dodat.za rad na dan držav.i verskog praznika</t>
  </si>
  <si>
    <t>Dodatak za rad nocu</t>
  </si>
  <si>
    <t>Minuli rad</t>
  </si>
  <si>
    <t>Bolovanje do 30 dana</t>
  </si>
  <si>
    <t>Ostali dodaci i naknade zaposlenima-stimulacije</t>
  </si>
  <si>
    <t>Plate privremeno zaposlenih</t>
  </si>
  <si>
    <t>Doprinos za PIO-na teret poslodavca</t>
  </si>
  <si>
    <t>Doprinos za PIO-za rad.staz sa uv.doprinosom</t>
  </si>
  <si>
    <t>Doprinos za nezaposlenost-poslodav.</t>
  </si>
  <si>
    <t>Porodiljsko bolovanje</t>
  </si>
  <si>
    <t>Bolovanje preko 30 dana</t>
  </si>
  <si>
    <t>Ispl.nakn.za vr.ods.s pos.na ter.fon.</t>
  </si>
  <si>
    <t>Otpremnine u slučaju otpuštanja s posla</t>
  </si>
  <si>
    <t>Naknada troskova za prevoz na posao i sa posla</t>
  </si>
  <si>
    <t>Jubilarne nagrade</t>
  </si>
  <si>
    <t>Troskovi platnog prometa</t>
  </si>
  <si>
    <t>Troškovi bankarskih usluga</t>
  </si>
  <si>
    <t>Radio-televizijska pretplata</t>
  </si>
  <si>
    <t>Ostali nepomenuti troškovi-neiskor.god.odmor</t>
  </si>
  <si>
    <t>Ostali troškovi</t>
  </si>
  <si>
    <t>Troskovi dnevnica (ishrane)na sl.putu</t>
  </si>
  <si>
    <t>Troškovi prevoza na službenom putu(avion.auto)</t>
  </si>
  <si>
    <t>Dnevnice(ishrana) za putovanje u okviru redovnog rada</t>
  </si>
  <si>
    <t>Troškovi smeštaja na putovanju u okviru redovnog rada</t>
  </si>
  <si>
    <t>Troškovi putov.u okv.redovnog rada</t>
  </si>
  <si>
    <t>Usluge održavanja računara</t>
  </si>
  <si>
    <t>Kotizacija za stručna savetovanja</t>
  </si>
  <si>
    <t>Ostali izdaci za stručno obrazovanje</t>
  </si>
  <si>
    <t>Ostale usluge štampanja</t>
  </si>
  <si>
    <t>Medijske usluge radija i televizije</t>
  </si>
  <si>
    <t>Naknade članovima upravnih,nadzornih odbora i komisija</t>
  </si>
  <si>
    <t>Pranje vesa</t>
  </si>
  <si>
    <t>Zdravstvena zaštita po ugovoru</t>
  </si>
  <si>
    <t>Ostale medicinske usluge</t>
  </si>
  <si>
    <t>Geodetske usluge</t>
  </si>
  <si>
    <t>Usluge očuv.živ.sredine nauke i geodet.usluge</t>
  </si>
  <si>
    <t>Ostale specijalizovane usluge</t>
  </si>
  <si>
    <t>Rashodi za radnu uniformu</t>
  </si>
  <si>
    <t>Uniforme</t>
  </si>
  <si>
    <t>HTZ oprema</t>
  </si>
  <si>
    <t>Ostali materijal za očuvanje životne sredine i nauku</t>
  </si>
  <si>
    <t>Materijal za očuvanje životne sredine i nauku</t>
  </si>
  <si>
    <t>Materijal za med.testova-zubni mat.</t>
  </si>
  <si>
    <t>Materijal za med.testove-refundacija</t>
  </si>
  <si>
    <t>Materijal za vakcinaciju</t>
  </si>
  <si>
    <t>Lekovi na recept - sandostatin</t>
  </si>
  <si>
    <t>Lekovi na recept-refundacija</t>
  </si>
  <si>
    <t>Ostali medicinski i laboratorijski materijal</t>
  </si>
  <si>
    <t>Amortizacija zgrada I gradj.objekata</t>
  </si>
  <si>
    <t>Stalni porez na imovinu</t>
  </si>
  <si>
    <t>SVEGA  RASHODI I-VI 2016 DZP</t>
  </si>
  <si>
    <t>participacija</t>
  </si>
  <si>
    <t>sopstveni</t>
  </si>
  <si>
    <t>kopaonik</t>
  </si>
  <si>
    <t xml:space="preserve">bolovanja </t>
  </si>
  <si>
    <t>Kapitalno održavanje bilnica, domova zdravlja</t>
  </si>
  <si>
    <t>Kapitalno održavanje zgrada i objekata</t>
  </si>
  <si>
    <t>Automobili</t>
  </si>
  <si>
    <t>Kombiji</t>
  </si>
  <si>
    <t>Oprema za saobracaj</t>
  </si>
  <si>
    <t>Namestaj</t>
  </si>
  <si>
    <t>Racunarska oprema</t>
  </si>
  <si>
    <t>Mreže</t>
  </si>
  <si>
    <t>Telefoni-faks</t>
  </si>
  <si>
    <t>Štampači</t>
  </si>
  <si>
    <t>Elektronska oprema</t>
  </si>
  <si>
    <t>Oprema za domacinstvo</t>
  </si>
  <si>
    <t>Administrativna oprema</t>
  </si>
  <si>
    <t>Medicinska I laboratorijska oprema</t>
  </si>
  <si>
    <t>Kompjuterski softver</t>
  </si>
  <si>
    <t>Nematerijalna imovina</t>
  </si>
  <si>
    <t>SVEGA IZDACI I-VI 2016 DZP</t>
  </si>
  <si>
    <t>Tek.trans.od drug.nivoa vlasti u korist RZZO</t>
  </si>
  <si>
    <t>Tek.tran.od dr.nivoa vlas.u korist RZZO</t>
  </si>
  <si>
    <r>
      <t>Prihod od imovine koja prip.imaocu polise-</t>
    </r>
    <r>
      <rPr>
        <b/>
        <sz val="7"/>
        <rFont val="Arial"/>
        <family val="2"/>
      </rPr>
      <t>Dunav,Sava</t>
    </r>
  </si>
  <si>
    <t>Dunav,Sava</t>
  </si>
  <si>
    <t xml:space="preserve">Pri.od pro.dob.i us.-DZP-pazar bez PDV-a </t>
  </si>
  <si>
    <t xml:space="preserve">Pri.od pro.dob.i us.-DZP-pazar sa PDV-om </t>
  </si>
  <si>
    <t>Pri.od pro.dob.i us.-DZP-pazar zubno</t>
  </si>
  <si>
    <t>Pri.od pro.dob.i us.-KOS-pazar bez PDV-a</t>
  </si>
  <si>
    <t>Pri.od pro.dob.i us.-KOS-pazar sa PDV-om</t>
  </si>
  <si>
    <t>Pri.od pro.dob.i us.-KOS-pazar zubno</t>
  </si>
  <si>
    <t>Pri.od pro.dob.i us.-napl.prih.po fakt.bez PDVa</t>
  </si>
  <si>
    <t>Pri.od pro.dob.i us.-nap.prih.po fak.-sa PDVom</t>
  </si>
  <si>
    <t>Pri.od pro.dob.i us.-napl.prih.po fak.-zubari</t>
  </si>
  <si>
    <t>Tek.dob.tran.od fiz.i prav.lica u kor.RZZO</t>
  </si>
  <si>
    <t>Mešoviti i neodredjeni prihodi-telefoni</t>
  </si>
  <si>
    <t>Mešoviti i neodredjeni prihodi-ostalo</t>
  </si>
  <si>
    <t>Mešoviti i neodredjeni prihodi-prevoz kopaonik</t>
  </si>
  <si>
    <t>Mešoviti i neodredjeni prihodi</t>
  </si>
  <si>
    <t>Memorand.stavke za ref.ras.-porod.bolov.</t>
  </si>
  <si>
    <t>Memorand.stavke za ref.ras.-bolov.pr.30 d.RZZO</t>
  </si>
  <si>
    <t>Memorand.stavke za ref.ras.-Skupština grada Beograda</t>
  </si>
  <si>
    <t>Memorand.stavke za ref.rashoda</t>
  </si>
  <si>
    <t>Memorand.stavke za ref.ras.iz pret.god.-porod.bolovanje</t>
  </si>
  <si>
    <t>Participacija - DZ Požarevac</t>
  </si>
  <si>
    <t>Participacija -zubno- DZ Požarevac</t>
  </si>
  <si>
    <t>Participacija - RJ Kostolac</t>
  </si>
  <si>
    <t>Participacija - zubno - RJ Kostolac</t>
  </si>
  <si>
    <t>Prihodi iz budžeta</t>
  </si>
  <si>
    <t>SVEGA PRIHODI I-VI 2016 DZP</t>
  </si>
  <si>
    <t>Sanitetski materijal i laboratorijski materijal</t>
  </si>
  <si>
    <t>Lekovi na recept - lekovi sa refundacijom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</si>
  <si>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</si>
  <si>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</si>
  <si>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</si>
  <si>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</si>
  <si>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Stomatološka stolica za OŠ "Sveti Sava"</t>
  </si>
  <si>
    <t>Pazari i fakture zubno</t>
  </si>
  <si>
    <t>Pri.od pro.dob.i us.-napl.prih.po fakt.primarna</t>
  </si>
  <si>
    <t>Donacije Tek.dob.tran.od fiz.i pra.lica u kor.RZZO</t>
  </si>
  <si>
    <t xml:space="preserve">Memor.stavke za ref.ras.iz pret.god.bolovanja </t>
  </si>
  <si>
    <t>Participacija primarne</t>
  </si>
  <si>
    <t>Participacija stomatologije</t>
  </si>
  <si>
    <t>Gradske kazne</t>
  </si>
  <si>
    <t>Planirano  za 2016 po IV rebalansu.</t>
  </si>
  <si>
    <t>Prihodi od prodaje pokretne imovine-vozila</t>
  </si>
  <si>
    <t>Ultra zvuk za kukove beba</t>
  </si>
  <si>
    <t>IZVEŠTAJ O FINANSIJSKOM POSLOVANJU PO DVANESTOMESEČNOM OBRAČUNU ZA 2016. GODINU</t>
  </si>
  <si>
    <t>SVEGA PRIHODI I-XII 2016.</t>
  </si>
  <si>
    <t xml:space="preserve">SVEGA  RASHODI I-XII 2016. </t>
  </si>
  <si>
    <t>SVEGA IZDACI I-XII 2016.</t>
  </si>
  <si>
    <t>Medicinski aparat ortorejter</t>
  </si>
  <si>
    <t>Motorna oprema- guseničar</t>
  </si>
  <si>
    <t>Sredstva osiguranja-,Dunav</t>
  </si>
  <si>
    <t>Sredstva osiguranja-Dunav</t>
  </si>
  <si>
    <t>Planirano  za 2016 po VII rebalansu.</t>
  </si>
  <si>
    <t>Ostale specijalizovane usluge I AKRED.</t>
  </si>
  <si>
    <t>KOREKCIJA</t>
  </si>
  <si>
    <t>Neraspoređen deo viška prihoda prenet u 2016. godinu</t>
  </si>
  <si>
    <t>Finansijski rezultat posle korekcije</t>
  </si>
  <si>
    <t>Rezervisana sredstva iz amortizacije za nabavku opreme za IT</t>
  </si>
  <si>
    <t>Plaćen porez na dobit</t>
  </si>
  <si>
    <t>PDV sadržan u računima koji su otpisani</t>
  </si>
  <si>
    <t>Troškovi osiguranja</t>
  </si>
  <si>
    <t>3 centrifuge za laboratoriju</t>
  </si>
  <si>
    <t>RFZO - plate</t>
  </si>
  <si>
    <t>RFZO - prevoz</t>
  </si>
  <si>
    <t>RFZO - energenti</t>
  </si>
  <si>
    <t>RFZO - materijalni i ostali troškovi</t>
  </si>
  <si>
    <t>RFZO - lekovi</t>
  </si>
  <si>
    <t>RFZO - sanitetski i medicinski materijal</t>
  </si>
  <si>
    <t>RFZO - Jubilarne nagrade</t>
  </si>
  <si>
    <t>RFZO - Otpremnine</t>
  </si>
  <si>
    <t>RFZO-Naknada troš.pogrebnih usluga po čl.105</t>
  </si>
  <si>
    <t>RFZO - van ugovora - sandostatin</t>
  </si>
  <si>
    <t>RFZO - stomatološke usluge - plate</t>
  </si>
  <si>
    <t>RFZO - stomatološke usluge - prevoz</t>
  </si>
  <si>
    <t>RFZO - stomatološke usluge-mater.i ost.troškovi</t>
  </si>
  <si>
    <t>RFZO - stomatološke usluge-Jubilarne nagrade</t>
  </si>
  <si>
    <t>RFZO - stomatološke usluge-Otpremione</t>
  </si>
  <si>
    <t>Sredstva RFZO po nameni za energente</t>
  </si>
  <si>
    <t>Sredstva RFZO po nameni za prevoz</t>
  </si>
  <si>
    <t>Sredstva RFZO po nameni za mat.tr.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</si>
</sst>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33" borderId="0" xfId="55" applyFont="1" applyFill="1">
      <alignment/>
      <protection/>
    </xf>
    <xf numFmtId="0" fontId="0" fillId="33" borderId="0" xfId="55" applyFill="1">
      <alignment/>
      <protection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55" applyFont="1" applyFill="1" applyBorder="1">
      <alignment/>
      <protection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55" applyNumberFormat="1" applyFont="1" applyFill="1" applyBorder="1">
      <alignment/>
      <protection/>
    </xf>
    <xf numFmtId="4" fontId="2" fillId="33" borderId="11" xfId="55" applyNumberFormat="1" applyFont="1" applyFill="1" applyBorder="1">
      <alignment/>
      <protection/>
    </xf>
    <xf numFmtId="4" fontId="0" fillId="33" borderId="0" xfId="0" applyNumberFormat="1" applyFill="1" applyAlignment="1">
      <alignment/>
    </xf>
    <xf numFmtId="0" fontId="2" fillId="33" borderId="10" xfId="55" applyFont="1" applyFill="1" applyBorder="1">
      <alignment/>
      <protection/>
    </xf>
    <xf numFmtId="4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55" applyNumberFormat="1" applyFont="1" applyFill="1" applyBorder="1">
      <alignment/>
      <protection/>
    </xf>
    <xf numFmtId="4" fontId="3" fillId="33" borderId="11" xfId="55" applyNumberFormat="1" applyFont="1" applyFill="1" applyBorder="1">
      <alignment/>
      <protection/>
    </xf>
    <xf numFmtId="0" fontId="2" fillId="33" borderId="12" xfId="55" applyFont="1" applyFill="1" applyBorder="1">
      <alignment/>
      <protection/>
    </xf>
    <xf numFmtId="4" fontId="2" fillId="33" borderId="12" xfId="55" applyNumberFormat="1" applyFont="1" applyFill="1" applyBorder="1">
      <alignment/>
      <protection/>
    </xf>
    <xf numFmtId="4" fontId="2" fillId="33" borderId="13" xfId="55" applyNumberFormat="1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3" fillId="33" borderId="10" xfId="55" applyFont="1" applyFill="1" applyBorder="1" applyAlignment="1">
      <alignment wrapText="1"/>
      <protection/>
    </xf>
    <xf numFmtId="0" fontId="3" fillId="33" borderId="12" xfId="55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3" fillId="33" borderId="13" xfId="55" applyNumberFormat="1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4" fontId="2" fillId="33" borderId="14" xfId="0" applyNumberFormat="1" applyFont="1" applyFill="1" applyBorder="1" applyAlignment="1">
      <alignment wrapText="1"/>
    </xf>
    <xf numFmtId="0" fontId="2" fillId="33" borderId="11" xfId="55" applyFont="1" applyFill="1" applyBorder="1">
      <alignment/>
      <protection/>
    </xf>
    <xf numFmtId="0" fontId="3" fillId="33" borderId="11" xfId="0" applyFont="1" applyFill="1" applyBorder="1" applyAlignment="1">
      <alignment wrapText="1"/>
    </xf>
    <xf numFmtId="4" fontId="2" fillId="33" borderId="15" xfId="0" applyNumberFormat="1" applyFont="1" applyFill="1" applyBorder="1" applyAlignment="1">
      <alignment horizontal="right" wrapText="1"/>
    </xf>
    <xf numFmtId="4" fontId="2" fillId="33" borderId="16" xfId="55" applyNumberFormat="1" applyFont="1" applyFill="1" applyBorder="1">
      <alignment/>
      <protection/>
    </xf>
    <xf numFmtId="4" fontId="3" fillId="33" borderId="16" xfId="55" applyNumberFormat="1" applyFont="1" applyFill="1" applyBorder="1">
      <alignment/>
      <protection/>
    </xf>
    <xf numFmtId="4" fontId="2" fillId="33" borderId="17" xfId="55" applyNumberFormat="1" applyFont="1" applyFill="1" applyBorder="1">
      <alignment/>
      <protection/>
    </xf>
    <xf numFmtId="4" fontId="2" fillId="33" borderId="18" xfId="0" applyNumberFormat="1" applyFont="1" applyFill="1" applyBorder="1" applyAlignment="1">
      <alignment horizontal="right" wrapText="1"/>
    </xf>
    <xf numFmtId="4" fontId="2" fillId="33" borderId="19" xfId="55" applyNumberFormat="1" applyFont="1" applyFill="1" applyBorder="1" applyAlignment="1">
      <alignment horizontal="center" wrapText="1"/>
      <protection/>
    </xf>
    <xf numFmtId="0" fontId="1" fillId="33" borderId="14" xfId="55" applyFont="1" applyFill="1" applyBorder="1" applyAlignment="1">
      <alignment horizontal="center" wrapText="1"/>
      <protection/>
    </xf>
    <xf numFmtId="0" fontId="1" fillId="33" borderId="20" xfId="55" applyFont="1" applyFill="1" applyBorder="1" applyAlignment="1">
      <alignment horizontal="center" wrapText="1"/>
      <protection/>
    </xf>
    <xf numFmtId="0" fontId="1" fillId="33" borderId="21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wrapText="1"/>
      <protection/>
    </xf>
    <xf numFmtId="0" fontId="2" fillId="33" borderId="22" xfId="55" applyFont="1" applyFill="1" applyBorder="1" applyAlignment="1">
      <alignment horizontal="center" wrapText="1"/>
      <protection/>
    </xf>
    <xf numFmtId="0" fontId="2" fillId="33" borderId="23" xfId="55" applyFont="1" applyFill="1" applyBorder="1" applyAlignment="1">
      <alignment horizontal="center" wrapText="1"/>
      <protection/>
    </xf>
    <xf numFmtId="0" fontId="5" fillId="33" borderId="23" xfId="55" applyFont="1" applyFill="1" applyBorder="1" applyAlignment="1">
      <alignment horizontal="center" wrapText="1"/>
      <protection/>
    </xf>
    <xf numFmtId="0" fontId="3" fillId="33" borderId="13" xfId="55" applyFont="1" applyFill="1" applyBorder="1">
      <alignment/>
      <protection/>
    </xf>
    <xf numFmtId="4" fontId="3" fillId="33" borderId="24" xfId="55" applyNumberFormat="1" applyFont="1" applyFill="1" applyBorder="1">
      <alignment/>
      <protection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11" xfId="55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33" borderId="10" xfId="55" applyNumberFormat="1" applyFont="1" applyFill="1" applyBorder="1" applyAlignment="1">
      <alignment horizontal="right" wrapText="1"/>
      <protection/>
    </xf>
    <xf numFmtId="0" fontId="2" fillId="33" borderId="10" xfId="55" applyFont="1" applyFill="1" applyBorder="1">
      <alignment/>
      <protection/>
    </xf>
    <xf numFmtId="0" fontId="2" fillId="33" borderId="11" xfId="55" applyFont="1" applyFill="1" applyBorder="1" applyAlignment="1">
      <alignment wrapText="1"/>
      <protection/>
    </xf>
    <xf numFmtId="0" fontId="2" fillId="33" borderId="14" xfId="55" applyFont="1" applyFill="1" applyBorder="1" applyAlignment="1">
      <alignment horizontal="center" wrapText="1"/>
      <protection/>
    </xf>
    <xf numFmtId="0" fontId="3" fillId="33" borderId="26" xfId="55" applyFont="1" applyFill="1" applyBorder="1" applyAlignment="1">
      <alignment horizontal="right" wrapText="1"/>
      <protection/>
    </xf>
    <xf numFmtId="0" fontId="3" fillId="33" borderId="27" xfId="55" applyFont="1" applyFill="1" applyBorder="1" applyAlignment="1">
      <alignment horizontal="left" wrapText="1"/>
      <protection/>
    </xf>
    <xf numFmtId="4" fontId="3" fillId="33" borderId="26" xfId="55" applyNumberFormat="1" applyFont="1" applyFill="1" applyBorder="1" applyAlignment="1">
      <alignment horizontal="right" wrapText="1"/>
      <protection/>
    </xf>
    <xf numFmtId="0" fontId="3" fillId="33" borderId="13" xfId="55" applyFont="1" applyFill="1" applyBorder="1" applyAlignment="1">
      <alignment wrapText="1"/>
      <protection/>
    </xf>
    <xf numFmtId="0" fontId="3" fillId="33" borderId="11" xfId="55" applyFont="1" applyFill="1" applyBorder="1" applyAlignment="1">
      <alignment horizontal="left"/>
      <protection/>
    </xf>
    <xf numFmtId="0" fontId="3" fillId="33" borderId="11" xfId="55" applyFont="1" applyFill="1" applyBorder="1">
      <alignment/>
      <protection/>
    </xf>
    <xf numFmtId="4" fontId="3" fillId="33" borderId="10" xfId="55" applyNumberFormat="1" applyFont="1" applyFill="1" applyBorder="1">
      <alignment/>
      <protection/>
    </xf>
    <xf numFmtId="4" fontId="3" fillId="33" borderId="11" xfId="55" applyNumberFormat="1" applyFont="1" applyFill="1" applyBorder="1">
      <alignment/>
      <protection/>
    </xf>
    <xf numFmtId="0" fontId="2" fillId="33" borderId="11" xfId="55" applyFont="1" applyFill="1" applyBorder="1" applyAlignment="1">
      <alignment wrapText="1"/>
      <protection/>
    </xf>
    <xf numFmtId="0" fontId="3" fillId="33" borderId="18" xfId="55" applyFont="1" applyFill="1" applyBorder="1">
      <alignment/>
      <protection/>
    </xf>
    <xf numFmtId="0" fontId="3" fillId="33" borderId="28" xfId="55" applyFont="1" applyFill="1" applyBorder="1">
      <alignment/>
      <protection/>
    </xf>
    <xf numFmtId="4" fontId="3" fillId="33" borderId="29" xfId="55" applyNumberFormat="1" applyFont="1" applyFill="1" applyBorder="1">
      <alignment/>
      <protection/>
    </xf>
    <xf numFmtId="4" fontId="3" fillId="33" borderId="18" xfId="55" applyNumberFormat="1" applyFont="1" applyFill="1" applyBorder="1">
      <alignment/>
      <protection/>
    </xf>
    <xf numFmtId="4" fontId="3" fillId="33" borderId="28" xfId="55" applyNumberFormat="1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3" fillId="33" borderId="11" xfId="55" applyFont="1" applyFill="1" applyBorder="1" applyAlignment="1">
      <alignment wrapText="1"/>
      <protection/>
    </xf>
    <xf numFmtId="4" fontId="3" fillId="33" borderId="18" xfId="0" applyNumberFormat="1" applyFont="1" applyFill="1" applyBorder="1" applyAlignment="1">
      <alignment/>
    </xf>
    <xf numFmtId="0" fontId="2" fillId="33" borderId="10" xfId="55" applyFont="1" applyFill="1" applyBorder="1" applyAlignment="1">
      <alignment wrapText="1"/>
      <protection/>
    </xf>
    <xf numFmtId="0" fontId="2" fillId="33" borderId="11" xfId="55" applyFont="1" applyFill="1" applyBorder="1">
      <alignment/>
      <protection/>
    </xf>
    <xf numFmtId="4" fontId="2" fillId="33" borderId="14" xfId="55" applyNumberFormat="1" applyFont="1" applyFill="1" applyBorder="1" applyAlignment="1">
      <alignment horizontal="center" wrapText="1"/>
      <protection/>
    </xf>
    <xf numFmtId="4" fontId="2" fillId="33" borderId="20" xfId="5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4" fontId="2" fillId="33" borderId="26" xfId="55" applyNumberFormat="1" applyFont="1" applyFill="1" applyBorder="1" applyAlignment="1">
      <alignment horizontal="right" wrapText="1"/>
      <protection/>
    </xf>
    <xf numFmtId="4" fontId="2" fillId="33" borderId="27" xfId="55" applyNumberFormat="1" applyFont="1" applyFill="1" applyBorder="1" applyAlignment="1">
      <alignment horizontal="center" wrapText="1"/>
      <protection/>
    </xf>
    <xf numFmtId="0" fontId="3" fillId="33" borderId="30" xfId="55" applyFont="1" applyFill="1" applyBorder="1">
      <alignment/>
      <protection/>
    </xf>
    <xf numFmtId="0" fontId="2" fillId="33" borderId="30" xfId="55" applyFont="1" applyFill="1" applyBorder="1">
      <alignment/>
      <protection/>
    </xf>
    <xf numFmtId="4" fontId="2" fillId="33" borderId="29" xfId="55" applyNumberFormat="1" applyFont="1" applyFill="1" applyBorder="1">
      <alignment/>
      <protection/>
    </xf>
    <xf numFmtId="4" fontId="2" fillId="33" borderId="18" xfId="55" applyNumberFormat="1" applyFont="1" applyFill="1" applyBorder="1">
      <alignment/>
      <protection/>
    </xf>
    <xf numFmtId="4" fontId="2" fillId="33" borderId="28" xfId="55" applyNumberFormat="1" applyFont="1" applyFill="1" applyBorder="1">
      <alignment/>
      <protection/>
    </xf>
    <xf numFmtId="0" fontId="2" fillId="33" borderId="18" xfId="55" applyFont="1" applyFill="1" applyBorder="1">
      <alignment/>
      <protection/>
    </xf>
    <xf numFmtId="0" fontId="2" fillId="33" borderId="11" xfId="55" applyFont="1" applyFill="1" applyBorder="1" applyAlignment="1">
      <alignment/>
      <protection/>
    </xf>
    <xf numFmtId="4" fontId="2" fillId="33" borderId="31" xfId="55" applyNumberFormat="1" applyFont="1" applyFill="1" applyBorder="1">
      <alignment/>
      <protection/>
    </xf>
    <xf numFmtId="4" fontId="2" fillId="33" borderId="32" xfId="55" applyNumberFormat="1" applyFont="1" applyFill="1" applyBorder="1">
      <alignment/>
      <protection/>
    </xf>
    <xf numFmtId="4" fontId="3" fillId="33" borderId="0" xfId="55" applyNumberFormat="1" applyFont="1" applyFill="1" applyBorder="1">
      <alignment/>
      <protection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55" applyFont="1" applyFill="1" applyBorder="1">
      <alignment/>
      <protection/>
    </xf>
    <xf numFmtId="4" fontId="6" fillId="33" borderId="0" xfId="55" applyNumberFormat="1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21" xfId="55" applyFont="1" applyFill="1" applyBorder="1" applyAlignment="1">
      <alignment horizontal="center" wrapText="1"/>
      <protection/>
    </xf>
    <xf numFmtId="0" fontId="2" fillId="33" borderId="20" xfId="55" applyFont="1" applyFill="1" applyBorder="1" applyAlignment="1">
      <alignment horizontal="center" wrapText="1"/>
      <protection/>
    </xf>
    <xf numFmtId="0" fontId="5" fillId="33" borderId="33" xfId="55" applyFont="1" applyFill="1" applyBorder="1" applyAlignment="1">
      <alignment horizontal="center" wrapText="1"/>
      <protection/>
    </xf>
    <xf numFmtId="0" fontId="5" fillId="33" borderId="34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2" fillId="33" borderId="35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horizontal="left" wrapText="1"/>
      <protection/>
    </xf>
    <xf numFmtId="4" fontId="3" fillId="33" borderId="16" xfId="55" applyNumberFormat="1" applyFont="1" applyFill="1" applyBorder="1" applyAlignment="1">
      <alignment horizontal="right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wrapText="1"/>
      <protection/>
    </xf>
    <xf numFmtId="4" fontId="3" fillId="33" borderId="11" xfId="55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wrapText="1"/>
      <protection/>
    </xf>
    <xf numFmtId="0" fontId="2" fillId="33" borderId="10" xfId="55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33" borderId="16" xfId="55" applyNumberFormat="1" applyFont="1" applyFill="1" applyBorder="1" applyAlignment="1">
      <alignment horizontal="right" wrapText="1"/>
      <protection/>
    </xf>
    <xf numFmtId="4" fontId="2" fillId="33" borderId="10" xfId="55" applyNumberFormat="1" applyFont="1" applyFill="1" applyBorder="1" applyAlignment="1">
      <alignment horizontal="right" wrapText="1"/>
      <protection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horizontal="center" wrapText="1"/>
      <protection/>
    </xf>
    <xf numFmtId="4" fontId="3" fillId="33" borderId="16" xfId="55" applyNumberFormat="1" applyFont="1" applyFill="1" applyBorder="1" applyAlignment="1">
      <alignment horizontal="right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wrapText="1"/>
      <protection/>
    </xf>
    <xf numFmtId="4" fontId="3" fillId="33" borderId="11" xfId="55" applyNumberFormat="1" applyFont="1" applyFill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right" wrapText="1"/>
      <protection/>
    </xf>
    <xf numFmtId="4" fontId="3" fillId="33" borderId="24" xfId="55" applyNumberFormat="1" applyFont="1" applyFill="1" applyBorder="1" applyAlignment="1">
      <alignment horizontal="right" wrapText="1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left"/>
      <protection/>
    </xf>
    <xf numFmtId="0" fontId="3" fillId="33" borderId="12" xfId="55" applyFont="1" applyFill="1" applyBorder="1" applyAlignment="1">
      <alignment horizontal="right"/>
      <protection/>
    </xf>
    <xf numFmtId="0" fontId="3" fillId="33" borderId="13" xfId="55" applyFont="1" applyFill="1" applyBorder="1" applyAlignment="1">
      <alignment horizontal="left"/>
      <protection/>
    </xf>
    <xf numFmtId="4" fontId="3" fillId="33" borderId="24" xfId="55" applyNumberFormat="1" applyFont="1" applyFill="1" applyBorder="1" applyAlignment="1">
      <alignment horizontal="right"/>
      <protection/>
    </xf>
    <xf numFmtId="4" fontId="2" fillId="33" borderId="12" xfId="55" applyNumberFormat="1" applyFont="1" applyFill="1" applyBorder="1" applyAlignment="1">
      <alignment horizontal="center"/>
      <protection/>
    </xf>
    <xf numFmtId="4" fontId="3" fillId="33" borderId="11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right"/>
      <protection/>
    </xf>
    <xf numFmtId="4" fontId="2" fillId="33" borderId="16" xfId="55" applyNumberFormat="1" applyFont="1" applyFill="1" applyBorder="1" applyAlignment="1">
      <alignment horizontal="right"/>
      <protection/>
    </xf>
    <xf numFmtId="4" fontId="2" fillId="33" borderId="10" xfId="55" applyNumberFormat="1" applyFont="1" applyFill="1" applyBorder="1" applyAlignment="1">
      <alignment horizontal="right"/>
      <protection/>
    </xf>
    <xf numFmtId="4" fontId="2" fillId="33" borderId="11" xfId="55" applyNumberFormat="1" applyFont="1" applyFill="1" applyBorder="1" applyAlignment="1">
      <alignment horizontal="right"/>
      <protection/>
    </xf>
    <xf numFmtId="4" fontId="2" fillId="33" borderId="24" xfId="55" applyNumberFormat="1" applyFont="1" applyFill="1" applyBorder="1">
      <alignment/>
      <protection/>
    </xf>
    <xf numFmtId="0" fontId="2" fillId="33" borderId="28" xfId="55" applyFont="1" applyFill="1" applyBorder="1">
      <alignment/>
      <protection/>
    </xf>
    <xf numFmtId="4" fontId="2" fillId="33" borderId="0" xfId="55" applyNumberFormat="1" applyFont="1" applyFill="1" applyBorder="1">
      <alignment/>
      <protection/>
    </xf>
    <xf numFmtId="0" fontId="3" fillId="33" borderId="0" xfId="55" applyFont="1" applyFill="1">
      <alignment/>
      <protection/>
    </xf>
    <xf numFmtId="4" fontId="3" fillId="33" borderId="0" xfId="55" applyNumberFormat="1" applyFont="1" applyFill="1">
      <alignment/>
      <protection/>
    </xf>
    <xf numFmtId="4" fontId="5" fillId="33" borderId="0" xfId="55" applyNumberFormat="1" applyFont="1" applyFill="1" applyBorder="1">
      <alignment/>
      <protection/>
    </xf>
    <xf numFmtId="0" fontId="6" fillId="33" borderId="0" xfId="55" applyFont="1" applyFill="1">
      <alignment/>
      <protection/>
    </xf>
    <xf numFmtId="0" fontId="5" fillId="33" borderId="14" xfId="55" applyFont="1" applyFill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right" shrinkToFit="1"/>
      <protection/>
    </xf>
    <xf numFmtId="0" fontId="3" fillId="33" borderId="12" xfId="55" applyFont="1" applyFill="1" applyBorder="1" applyAlignment="1">
      <alignment horizontal="left" wrapText="1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2" xfId="55" applyFont="1" applyFill="1" applyBorder="1" applyAlignment="1">
      <alignment wrapText="1"/>
      <protection/>
    </xf>
    <xf numFmtId="4" fontId="2" fillId="33" borderId="12" xfId="55" applyNumberFormat="1" applyFont="1" applyFill="1" applyBorder="1" applyAlignment="1">
      <alignment wrapText="1"/>
      <protection/>
    </xf>
    <xf numFmtId="4" fontId="3" fillId="33" borderId="12" xfId="55" applyNumberFormat="1" applyFont="1" applyFill="1" applyBorder="1" applyAlignment="1">
      <alignment horizontal="center" wrapText="1"/>
      <protection/>
    </xf>
    <xf numFmtId="4" fontId="3" fillId="33" borderId="13" xfId="55" applyNumberFormat="1" applyFont="1" applyFill="1" applyBorder="1" applyAlignment="1">
      <alignment horizontal="right" wrapText="1"/>
      <protection/>
    </xf>
    <xf numFmtId="4" fontId="2" fillId="33" borderId="14" xfId="55" applyNumberFormat="1" applyFont="1" applyFill="1" applyBorder="1" applyAlignment="1">
      <alignment horizontal="center" wrapText="1"/>
      <protection/>
    </xf>
    <xf numFmtId="4" fontId="2" fillId="33" borderId="20" xfId="55" applyNumberFormat="1" applyFont="1" applyFill="1" applyBorder="1" applyAlignment="1">
      <alignment horizontal="center" wrapText="1"/>
      <protection/>
    </xf>
    <xf numFmtId="0" fontId="2" fillId="33" borderId="0" xfId="55" applyFont="1" applyFill="1">
      <alignment/>
      <protection/>
    </xf>
    <xf numFmtId="4" fontId="2" fillId="33" borderId="0" xfId="55" applyNumberFormat="1" applyFont="1" applyFill="1">
      <alignment/>
      <protection/>
    </xf>
    <xf numFmtId="4" fontId="7" fillId="33" borderId="0" xfId="0" applyNumberFormat="1" applyFont="1" applyFill="1" applyAlignment="1">
      <alignment/>
    </xf>
    <xf numFmtId="0" fontId="2" fillId="33" borderId="0" xfId="55" applyFont="1" applyFill="1">
      <alignment/>
      <protection/>
    </xf>
    <xf numFmtId="4" fontId="3" fillId="33" borderId="0" xfId="55" applyNumberFormat="1" applyFont="1" applyFill="1">
      <alignment/>
      <protection/>
    </xf>
    <xf numFmtId="4" fontId="2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4" fontId="3" fillId="33" borderId="0" xfId="0" applyNumberFormat="1" applyFont="1" applyFill="1" applyAlignment="1">
      <alignment/>
    </xf>
    <xf numFmtId="0" fontId="4" fillId="33" borderId="22" xfId="55" applyFont="1" applyFill="1" applyBorder="1" applyAlignment="1">
      <alignment horizontal="center" wrapText="1"/>
      <protection/>
    </xf>
    <xf numFmtId="0" fontId="2" fillId="33" borderId="23" xfId="55" applyFont="1" applyFill="1" applyBorder="1" applyAlignment="1">
      <alignment horizontal="center" wrapText="1"/>
      <protection/>
    </xf>
    <xf numFmtId="4" fontId="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0" xfId="55" applyFill="1">
      <alignment/>
      <protection/>
    </xf>
    <xf numFmtId="0" fontId="1" fillId="0" borderId="14" xfId="55" applyFont="1" applyFill="1" applyBorder="1" applyAlignment="1">
      <alignment horizontal="center" wrapText="1"/>
      <protection/>
    </xf>
    <xf numFmtId="4" fontId="3" fillId="0" borderId="10" xfId="55" applyNumberFormat="1" applyFont="1" applyFill="1" applyBorder="1">
      <alignment/>
      <protection/>
    </xf>
    <xf numFmtId="4" fontId="2" fillId="0" borderId="10" xfId="55" applyNumberFormat="1" applyFont="1" applyFill="1" applyBorder="1">
      <alignment/>
      <protection/>
    </xf>
    <xf numFmtId="4" fontId="3" fillId="0" borderId="18" xfId="55" applyNumberFormat="1" applyFont="1" applyFill="1" applyBorder="1">
      <alignment/>
      <protection/>
    </xf>
    <xf numFmtId="4" fontId="3" fillId="0" borderId="0" xfId="55" applyNumberFormat="1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0" fontId="5" fillId="0" borderId="14" xfId="55" applyFont="1" applyFill="1" applyBorder="1" applyAlignment="1">
      <alignment horizontal="center" wrapText="1"/>
      <protection/>
    </xf>
    <xf numFmtId="4" fontId="3" fillId="0" borderId="11" xfId="55" applyNumberFormat="1" applyFont="1" applyFill="1" applyBorder="1" applyAlignment="1">
      <alignment horizontal="center" wrapText="1"/>
      <protection/>
    </xf>
    <xf numFmtId="4" fontId="2" fillId="0" borderId="10" xfId="55" applyNumberFormat="1" applyFont="1" applyFill="1" applyBorder="1" applyAlignment="1">
      <alignment horizontal="right" wrapText="1"/>
      <protection/>
    </xf>
    <xf numFmtId="4" fontId="3" fillId="0" borderId="11" xfId="55" applyNumberFormat="1" applyFont="1" applyFill="1" applyBorder="1" applyAlignment="1">
      <alignment horizontal="center" wrapText="1"/>
      <protection/>
    </xf>
    <xf numFmtId="4" fontId="3" fillId="0" borderId="12" xfId="55" applyNumberFormat="1" applyFont="1" applyFill="1" applyBorder="1" applyAlignment="1">
      <alignment horizontal="right" wrapText="1"/>
      <protection/>
    </xf>
    <xf numFmtId="4" fontId="2" fillId="0" borderId="13" xfId="55" applyNumberFormat="1" applyFont="1" applyFill="1" applyBorder="1" applyAlignment="1">
      <alignment horizontal="center"/>
      <protection/>
    </xf>
    <xf numFmtId="4" fontId="2" fillId="0" borderId="10" xfId="55" applyNumberFormat="1" applyFont="1" applyFill="1" applyBorder="1" applyAlignment="1">
      <alignment horizontal="right"/>
      <protection/>
    </xf>
    <xf numFmtId="4" fontId="3" fillId="0" borderId="11" xfId="55" applyNumberFormat="1" applyFont="1" applyFill="1" applyBorder="1">
      <alignment/>
      <protection/>
    </xf>
    <xf numFmtId="4" fontId="2" fillId="0" borderId="12" xfId="55" applyNumberFormat="1" applyFont="1" applyFill="1" applyBorder="1">
      <alignment/>
      <protection/>
    </xf>
    <xf numFmtId="4" fontId="2" fillId="0" borderId="13" xfId="55" applyNumberFormat="1" applyFont="1" applyFill="1" applyBorder="1">
      <alignment/>
      <protection/>
    </xf>
    <xf numFmtId="4" fontId="2" fillId="0" borderId="11" xfId="55" applyNumberFormat="1" applyFont="1" applyFill="1" applyBorder="1">
      <alignment/>
      <protection/>
    </xf>
    <xf numFmtId="4" fontId="2" fillId="0" borderId="28" xfId="55" applyNumberFormat="1" applyFont="1" applyFill="1" applyBorder="1">
      <alignment/>
      <protection/>
    </xf>
    <xf numFmtId="4" fontId="2" fillId="0" borderId="0" xfId="55" applyNumberFormat="1" applyFont="1" applyFill="1" applyBorder="1">
      <alignment/>
      <protection/>
    </xf>
    <xf numFmtId="4" fontId="5" fillId="0" borderId="0" xfId="55" applyNumberFormat="1" applyFont="1" applyFill="1" applyBorder="1">
      <alignment/>
      <protection/>
    </xf>
    <xf numFmtId="0" fontId="2" fillId="0" borderId="12" xfId="55" applyFont="1" applyFill="1" applyBorder="1" applyAlignment="1">
      <alignment horizontal="center" wrapText="1"/>
      <protection/>
    </xf>
    <xf numFmtId="4" fontId="2" fillId="0" borderId="14" xfId="55" applyNumberFormat="1" applyFont="1" applyFill="1" applyBorder="1" applyAlignment="1">
      <alignment horizontal="center" wrapText="1"/>
      <protection/>
    </xf>
    <xf numFmtId="0" fontId="3" fillId="0" borderId="0" xfId="55" applyFont="1" applyFill="1">
      <alignment/>
      <protection/>
    </xf>
    <xf numFmtId="0" fontId="0" fillId="0" borderId="0" xfId="0" applyFill="1" applyAlignment="1">
      <alignment/>
    </xf>
    <xf numFmtId="0" fontId="3" fillId="0" borderId="0" xfId="55" applyFont="1" applyFill="1">
      <alignment/>
      <protection/>
    </xf>
    <xf numFmtId="4" fontId="3" fillId="0" borderId="0" xfId="0" applyNumberFormat="1" applyFont="1" applyFill="1" applyAlignment="1">
      <alignment/>
    </xf>
    <xf numFmtId="0" fontId="2" fillId="0" borderId="10" xfId="55" applyFont="1" applyFill="1" applyBorder="1" applyAlignment="1">
      <alignment horizontal="center" wrapText="1"/>
      <protection/>
    </xf>
    <xf numFmtId="4" fontId="2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33" borderId="36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4" fontId="2" fillId="33" borderId="38" xfId="55" applyNumberFormat="1" applyFont="1" applyFill="1" applyBorder="1">
      <alignment/>
      <protection/>
    </xf>
    <xf numFmtId="4" fontId="2" fillId="0" borderId="38" xfId="55" applyNumberFormat="1" applyFont="1" applyFill="1" applyBorder="1">
      <alignment/>
      <protection/>
    </xf>
    <xf numFmtId="4" fontId="2" fillId="33" borderId="39" xfId="55" applyNumberFormat="1" applyFont="1" applyFill="1" applyBorder="1">
      <alignment/>
      <protection/>
    </xf>
    <xf numFmtId="4" fontId="3" fillId="34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5" borderId="14" xfId="0" applyNumberFormat="1" applyFont="1" applyFill="1" applyBorder="1" applyAlignment="1">
      <alignment wrapText="1"/>
    </xf>
    <xf numFmtId="4" fontId="2" fillId="35" borderId="19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2" fillId="35" borderId="10" xfId="55" applyFont="1" applyFill="1" applyBorder="1" applyAlignment="1">
      <alignment horizontal="right" wrapText="1"/>
      <protection/>
    </xf>
    <xf numFmtId="0" fontId="2" fillId="35" borderId="10" xfId="55" applyFont="1" applyFill="1" applyBorder="1" applyAlignment="1">
      <alignment horizontal="center" wrapText="1"/>
      <protection/>
    </xf>
    <xf numFmtId="4" fontId="2" fillId="35" borderId="11" xfId="55" applyNumberFormat="1" applyFont="1" applyFill="1" applyBorder="1" applyAlignment="1">
      <alignment horizontal="right" wrapText="1"/>
      <protection/>
    </xf>
    <xf numFmtId="4" fontId="2" fillId="35" borderId="10" xfId="55" applyNumberFormat="1" applyFont="1" applyFill="1" applyBorder="1" applyAlignment="1">
      <alignment horizontal="right" wrapText="1"/>
      <protection/>
    </xf>
    <xf numFmtId="4" fontId="0" fillId="35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3" fillId="35" borderId="12" xfId="55" applyFont="1" applyFill="1" applyBorder="1" applyAlignment="1">
      <alignment horizontal="right"/>
      <protection/>
    </xf>
    <xf numFmtId="0" fontId="7" fillId="35" borderId="12" xfId="55" applyFont="1" applyFill="1" applyBorder="1" applyAlignment="1">
      <alignment horizontal="center" wrapText="1"/>
      <protection/>
    </xf>
    <xf numFmtId="4" fontId="3" fillId="35" borderId="12" xfId="55" applyNumberFormat="1" applyFont="1" applyFill="1" applyBorder="1" applyAlignment="1">
      <alignment horizontal="right" wrapText="1"/>
      <protection/>
    </xf>
    <xf numFmtId="0" fontId="3" fillId="35" borderId="12" xfId="55" applyFont="1" applyFill="1" applyBorder="1" applyAlignment="1">
      <alignment horizontal="left" wrapText="1"/>
      <protection/>
    </xf>
    <xf numFmtId="4" fontId="2" fillId="35" borderId="13" xfId="55" applyNumberFormat="1" applyFont="1" applyFill="1" applyBorder="1" applyAlignment="1">
      <alignment horizontal="right" wrapText="1"/>
      <protection/>
    </xf>
    <xf numFmtId="0" fontId="3" fillId="35" borderId="11" xfId="55" applyFont="1" applyFill="1" applyBorder="1" applyAlignment="1">
      <alignment wrapText="1"/>
      <protection/>
    </xf>
    <xf numFmtId="4" fontId="3" fillId="35" borderId="11" xfId="55" applyNumberFormat="1" applyFont="1" applyFill="1" applyBorder="1">
      <alignment/>
      <protection/>
    </xf>
    <xf numFmtId="0" fontId="2" fillId="35" borderId="12" xfId="55" applyFont="1" applyFill="1" applyBorder="1" applyAlignment="1">
      <alignment horizontal="right" shrinkToFit="1"/>
      <protection/>
    </xf>
    <xf numFmtId="0" fontId="2" fillId="35" borderId="12" xfId="55" applyFont="1" applyFill="1" applyBorder="1" applyAlignment="1">
      <alignment horizontal="center" wrapText="1"/>
      <protection/>
    </xf>
    <xf numFmtId="4" fontId="2" fillId="35" borderId="12" xfId="55" applyNumberFormat="1" applyFont="1" applyFill="1" applyBorder="1" applyAlignment="1">
      <alignment horizontal="right" wrapText="1"/>
      <protection/>
    </xf>
    <xf numFmtId="0" fontId="2" fillId="35" borderId="10" xfId="55" applyFont="1" applyFill="1" applyBorder="1">
      <alignment/>
      <protection/>
    </xf>
    <xf numFmtId="0" fontId="2" fillId="35" borderId="10" xfId="55" applyFont="1" applyFill="1" applyBorder="1" applyAlignment="1">
      <alignment wrapText="1"/>
      <protection/>
    </xf>
    <xf numFmtId="4" fontId="2" fillId="35" borderId="12" xfId="55" applyNumberFormat="1" applyFont="1" applyFill="1" applyBorder="1" applyAlignment="1">
      <alignment horizontal="right" wrapText="1"/>
      <protection/>
    </xf>
    <xf numFmtId="0" fontId="3" fillId="35" borderId="10" xfId="55" applyFont="1" applyFill="1" applyBorder="1">
      <alignment/>
      <protection/>
    </xf>
    <xf numFmtId="0" fontId="3" fillId="35" borderId="10" xfId="55" applyFont="1" applyFill="1" applyBorder="1" applyAlignment="1">
      <alignment wrapText="1"/>
      <protection/>
    </xf>
    <xf numFmtId="4" fontId="3" fillId="35" borderId="12" xfId="55" applyNumberFormat="1" applyFont="1" applyFill="1" applyBorder="1" applyAlignment="1">
      <alignment horizontal="right" wrapText="1"/>
      <protection/>
    </xf>
    <xf numFmtId="0" fontId="3" fillId="35" borderId="12" xfId="55" applyFont="1" applyFill="1" applyBorder="1">
      <alignment/>
      <protection/>
    </xf>
    <xf numFmtId="0" fontId="7" fillId="35" borderId="12" xfId="55" applyFont="1" applyFill="1" applyBorder="1">
      <alignment/>
      <protection/>
    </xf>
    <xf numFmtId="0" fontId="3" fillId="35" borderId="12" xfId="55" applyFont="1" applyFill="1" applyBorder="1">
      <alignment/>
      <protection/>
    </xf>
    <xf numFmtId="4" fontId="3" fillId="35" borderId="12" xfId="55" applyNumberFormat="1" applyFont="1" applyFill="1" applyBorder="1">
      <alignment/>
      <protection/>
    </xf>
    <xf numFmtId="4" fontId="3" fillId="35" borderId="13" xfId="55" applyNumberFormat="1" applyFont="1" applyFill="1" applyBorder="1">
      <alignment/>
      <protection/>
    </xf>
    <xf numFmtId="0" fontId="7" fillId="35" borderId="10" xfId="55" applyFont="1" applyFill="1" applyBorder="1">
      <alignment/>
      <protection/>
    </xf>
    <xf numFmtId="0" fontId="3" fillId="35" borderId="10" xfId="55" applyFont="1" applyFill="1" applyBorder="1">
      <alignment/>
      <protection/>
    </xf>
    <xf numFmtId="4" fontId="3" fillId="35" borderId="10" xfId="55" applyNumberFormat="1" applyFont="1" applyFill="1" applyBorder="1">
      <alignment/>
      <protection/>
    </xf>
    <xf numFmtId="0" fontId="2" fillId="35" borderId="10" xfId="55" applyFont="1" applyFill="1" applyBorder="1">
      <alignment/>
      <protection/>
    </xf>
    <xf numFmtId="4" fontId="2" fillId="35" borderId="10" xfId="55" applyNumberFormat="1" applyFont="1" applyFill="1" applyBorder="1">
      <alignment/>
      <protection/>
    </xf>
    <xf numFmtId="4" fontId="2" fillId="35" borderId="11" xfId="55" applyNumberFormat="1" applyFont="1" applyFill="1" applyBorder="1">
      <alignment/>
      <protection/>
    </xf>
    <xf numFmtId="4" fontId="3" fillId="35" borderId="10" xfId="55" applyNumberFormat="1" applyFont="1" applyFill="1" applyBorder="1">
      <alignment/>
      <protection/>
    </xf>
    <xf numFmtId="0" fontId="3" fillId="35" borderId="10" xfId="55" applyFont="1" applyFill="1" applyBorder="1" applyAlignment="1">
      <alignment wrapText="1" shrinkToFit="1"/>
      <protection/>
    </xf>
    <xf numFmtId="0" fontId="3" fillId="35" borderId="10" xfId="55" applyFont="1" applyFill="1" applyBorder="1" applyAlignment="1">
      <alignment wrapText="1"/>
      <protection/>
    </xf>
    <xf numFmtId="4" fontId="1" fillId="35" borderId="10" xfId="0" applyNumberFormat="1" applyFont="1" applyFill="1" applyBorder="1" applyAlignment="1">
      <alignment/>
    </xf>
    <xf numFmtId="4" fontId="2" fillId="35" borderId="13" xfId="55" applyNumberFormat="1" applyFont="1" applyFill="1" applyBorder="1">
      <alignment/>
      <protection/>
    </xf>
    <xf numFmtId="0" fontId="2" fillId="33" borderId="12" xfId="55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center" wrapText="1"/>
      <protection/>
    </xf>
    <xf numFmtId="4" fontId="2" fillId="33" borderId="24" xfId="55" applyNumberFormat="1" applyFont="1" applyFill="1" applyBorder="1" applyAlignment="1">
      <alignment horizontal="right" wrapText="1"/>
      <protection/>
    </xf>
    <xf numFmtId="4" fontId="2" fillId="0" borderId="12" xfId="55" applyNumberFormat="1" applyFont="1" applyFill="1" applyBorder="1" applyAlignment="1">
      <alignment horizontal="right" wrapText="1"/>
      <protection/>
    </xf>
    <xf numFmtId="4" fontId="2" fillId="33" borderId="19" xfId="55" applyNumberFormat="1" applyFont="1" applyFill="1" applyBorder="1" applyAlignment="1">
      <alignment horizontal="center" wrapText="1"/>
      <protection/>
    </xf>
    <xf numFmtId="4" fontId="2" fillId="35" borderId="10" xfId="55" applyNumberFormat="1" applyFont="1" applyFill="1" applyBorder="1" applyAlignment="1">
      <alignment horizontal="right" wrapText="1"/>
      <protection/>
    </xf>
    <xf numFmtId="0" fontId="2" fillId="35" borderId="14" xfId="55" applyFont="1" applyFill="1" applyBorder="1" applyAlignment="1">
      <alignment wrapText="1"/>
      <protection/>
    </xf>
    <xf numFmtId="0" fontId="4" fillId="35" borderId="14" xfId="55" applyFont="1" applyFill="1" applyBorder="1" applyAlignment="1">
      <alignment wrapText="1"/>
      <protection/>
    </xf>
    <xf numFmtId="0" fontId="1" fillId="35" borderId="14" xfId="55" applyFont="1" applyFill="1" applyBorder="1" applyAlignment="1">
      <alignment horizontal="center" wrapText="1"/>
      <protection/>
    </xf>
    <xf numFmtId="0" fontId="2" fillId="35" borderId="10" xfId="55" applyFont="1" applyFill="1" applyBorder="1" applyAlignment="1">
      <alignment horizontal="center" wrapText="1"/>
      <protection/>
    </xf>
    <xf numFmtId="0" fontId="2" fillId="35" borderId="22" xfId="55" applyFont="1" applyFill="1" applyBorder="1" applyAlignment="1">
      <alignment horizontal="center" wrapText="1"/>
      <protection/>
    </xf>
    <xf numFmtId="0" fontId="5" fillId="35" borderId="23" xfId="55" applyFont="1" applyFill="1" applyBorder="1" applyAlignment="1">
      <alignment horizontal="center" wrapText="1"/>
      <protection/>
    </xf>
    <xf numFmtId="4" fontId="3" fillId="35" borderId="12" xfId="55" applyNumberFormat="1" applyFont="1" applyFill="1" applyBorder="1">
      <alignment/>
      <protection/>
    </xf>
    <xf numFmtId="0" fontId="2" fillId="35" borderId="14" xfId="55" applyFont="1" applyFill="1" applyBorder="1" applyAlignment="1">
      <alignment horizontal="center" wrapText="1"/>
      <protection/>
    </xf>
    <xf numFmtId="0" fontId="2" fillId="35" borderId="23" xfId="55" applyFont="1" applyFill="1" applyBorder="1" applyAlignment="1">
      <alignment horizontal="center" wrapText="1"/>
      <protection/>
    </xf>
    <xf numFmtId="4" fontId="3" fillId="35" borderId="26" xfId="55" applyNumberFormat="1" applyFont="1" applyFill="1" applyBorder="1" applyAlignment="1">
      <alignment wrapText="1"/>
      <protection/>
    </xf>
    <xf numFmtId="4" fontId="3" fillId="35" borderId="26" xfId="55" applyNumberFormat="1" applyFont="1" applyFill="1" applyBorder="1" applyAlignment="1">
      <alignment horizontal="right" wrapText="1"/>
      <protection/>
    </xf>
    <xf numFmtId="0" fontId="2" fillId="35" borderId="26" xfId="55" applyFont="1" applyFill="1" applyBorder="1" applyAlignment="1">
      <alignment horizontal="center" wrapText="1"/>
      <protection/>
    </xf>
    <xf numFmtId="0" fontId="2" fillId="35" borderId="27" xfId="55" applyFont="1" applyFill="1" applyBorder="1" applyAlignment="1">
      <alignment horizontal="center" wrapText="1"/>
      <protection/>
    </xf>
    <xf numFmtId="0" fontId="3" fillId="35" borderId="13" xfId="55" applyFont="1" applyFill="1" applyBorder="1" applyAlignment="1">
      <alignment wrapText="1"/>
      <protection/>
    </xf>
    <xf numFmtId="4" fontId="3" fillId="35" borderId="11" xfId="55" applyNumberFormat="1" applyFont="1" applyFill="1" applyBorder="1">
      <alignment/>
      <protection/>
    </xf>
    <xf numFmtId="4" fontId="3" fillId="35" borderId="18" xfId="55" applyNumberFormat="1" applyFont="1" applyFill="1" applyBorder="1">
      <alignment/>
      <protection/>
    </xf>
    <xf numFmtId="4" fontId="3" fillId="35" borderId="28" xfId="55" applyNumberFormat="1" applyFont="1" applyFill="1" applyBorder="1">
      <alignment/>
      <protection/>
    </xf>
    <xf numFmtId="0" fontId="3" fillId="35" borderId="0" xfId="55" applyFont="1" applyFill="1" applyBorder="1">
      <alignment/>
      <protection/>
    </xf>
    <xf numFmtId="0" fontId="2" fillId="35" borderId="20" xfId="55" applyFont="1" applyFill="1" applyBorder="1" applyAlignment="1">
      <alignment horizontal="center" wrapText="1"/>
      <protection/>
    </xf>
    <xf numFmtId="4" fontId="2" fillId="35" borderId="16" xfId="55" applyNumberFormat="1" applyFont="1" applyFill="1" applyBorder="1">
      <alignment/>
      <protection/>
    </xf>
    <xf numFmtId="4" fontId="2" fillId="35" borderId="14" xfId="55" applyNumberFormat="1" applyFont="1" applyFill="1" applyBorder="1" applyAlignment="1">
      <alignment horizontal="center" wrapText="1"/>
      <protection/>
    </xf>
    <xf numFmtId="4" fontId="2" fillId="35" borderId="20" xfId="55" applyNumberFormat="1" applyFont="1" applyFill="1" applyBorder="1" applyAlignment="1">
      <alignment horizontal="center" wrapText="1"/>
      <protection/>
    </xf>
    <xf numFmtId="4" fontId="2" fillId="35" borderId="26" xfId="55" applyNumberFormat="1" applyFont="1" applyFill="1" applyBorder="1" applyAlignment="1">
      <alignment horizontal="center" wrapText="1"/>
      <protection/>
    </xf>
    <xf numFmtId="4" fontId="2" fillId="35" borderId="26" xfId="55" applyNumberFormat="1" applyFont="1" applyFill="1" applyBorder="1" applyAlignment="1">
      <alignment horizontal="right" wrapText="1"/>
      <protection/>
    </xf>
    <xf numFmtId="4" fontId="2" fillId="35" borderId="27" xfId="55" applyNumberFormat="1" applyFont="1" applyFill="1" applyBorder="1" applyAlignment="1">
      <alignment horizontal="center" wrapText="1"/>
      <protection/>
    </xf>
    <xf numFmtId="4" fontId="2" fillId="35" borderId="29" xfId="55" applyNumberFormat="1" applyFont="1" applyFill="1" applyBorder="1">
      <alignment/>
      <protection/>
    </xf>
    <xf numFmtId="4" fontId="2" fillId="35" borderId="18" xfId="55" applyNumberFormat="1" applyFont="1" applyFill="1" applyBorder="1">
      <alignment/>
      <protection/>
    </xf>
    <xf numFmtId="4" fontId="2" fillId="35" borderId="28" xfId="55" applyNumberFormat="1" applyFont="1" applyFill="1" applyBorder="1">
      <alignment/>
      <protection/>
    </xf>
    <xf numFmtId="4" fontId="2" fillId="35" borderId="31" xfId="55" applyNumberFormat="1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0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2" fillId="35" borderId="10" xfId="55" applyNumberFormat="1" applyFont="1" applyFill="1" applyBorder="1">
      <alignment/>
      <protection/>
    </xf>
    <xf numFmtId="0" fontId="2" fillId="35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4" fontId="3" fillId="36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49"/>
  <sheetViews>
    <sheetView tabSelected="1" zoomScalePageLayoutView="0" workbookViewId="0" topLeftCell="A1">
      <selection activeCell="C342" sqref="C342"/>
    </sheetView>
  </sheetViews>
  <sheetFormatPr defaultColWidth="9.140625" defaultRowHeight="12.75"/>
  <cols>
    <col min="1" max="1" width="8.8515625" style="8" customWidth="1"/>
    <col min="2" max="2" width="30.8515625" style="8" customWidth="1"/>
    <col min="3" max="3" width="11.8515625" style="8" customWidth="1"/>
    <col min="4" max="4" width="12.00390625" style="8" customWidth="1"/>
    <col min="5" max="5" width="10.00390625" style="8" customWidth="1"/>
    <col min="6" max="6" width="8.421875" style="8" customWidth="1"/>
    <col min="7" max="7" width="11.57421875" style="8" customWidth="1"/>
    <col min="8" max="8" width="11.00390625" style="192" customWidth="1"/>
    <col min="9" max="9" width="9.7109375" style="8" customWidth="1"/>
    <col min="10" max="10" width="10.8515625" style="8" customWidth="1"/>
    <col min="11" max="11" width="11.00390625" style="8" customWidth="1"/>
    <col min="12" max="12" width="11.7109375" style="8" customWidth="1"/>
    <col min="13" max="13" width="13.7109375" style="8" customWidth="1"/>
    <col min="14" max="14" width="7.140625" style="8" customWidth="1"/>
    <col min="15" max="16" width="9.140625" style="8" customWidth="1"/>
    <col min="17" max="17" width="13.421875" style="11" customWidth="1"/>
    <col min="18" max="18" width="23.140625" style="11" customWidth="1"/>
    <col min="19" max="16384" width="9.140625" style="8" customWidth="1"/>
  </cols>
  <sheetData>
    <row r="3" spans="1:12" ht="12.75">
      <c r="A3" s="2"/>
      <c r="B3" s="2"/>
      <c r="C3" s="1" t="s">
        <v>277</v>
      </c>
      <c r="D3" s="1"/>
      <c r="E3" s="1"/>
      <c r="F3" s="1"/>
      <c r="G3" s="1"/>
      <c r="H3" s="168"/>
      <c r="I3" s="2"/>
      <c r="J3" s="2"/>
      <c r="K3" s="2"/>
      <c r="L3" s="2"/>
    </row>
    <row r="4" spans="1:12" ht="13.5" thickBot="1">
      <c r="A4" s="1" t="s">
        <v>89</v>
      </c>
      <c r="B4" s="1"/>
      <c r="C4" s="2"/>
      <c r="D4" s="2"/>
      <c r="E4" s="2"/>
      <c r="F4" s="2"/>
      <c r="G4" s="2"/>
      <c r="H4" s="168"/>
      <c r="I4" s="2"/>
      <c r="J4" s="2"/>
      <c r="K4" s="2"/>
      <c r="L4" s="2"/>
    </row>
    <row r="5" spans="1:15" ht="45.75" thickBot="1">
      <c r="A5" s="36" t="s">
        <v>0</v>
      </c>
      <c r="B5" s="37" t="s">
        <v>1</v>
      </c>
      <c r="C5" s="38" t="s">
        <v>2</v>
      </c>
      <c r="D5" s="36" t="s">
        <v>153</v>
      </c>
      <c r="E5" s="256" t="s">
        <v>93</v>
      </c>
      <c r="F5" s="257" t="s">
        <v>283</v>
      </c>
      <c r="G5" s="258" t="s">
        <v>94</v>
      </c>
      <c r="H5" s="258" t="s">
        <v>95</v>
      </c>
      <c r="I5" s="259" t="s">
        <v>155</v>
      </c>
      <c r="J5" s="259" t="s">
        <v>156</v>
      </c>
      <c r="K5" s="260" t="s">
        <v>122</v>
      </c>
      <c r="L5" s="261" t="s">
        <v>107</v>
      </c>
      <c r="M5" s="207" t="s">
        <v>285</v>
      </c>
      <c r="N5" s="207" t="s">
        <v>123</v>
      </c>
      <c r="O5" s="208" t="s">
        <v>141</v>
      </c>
    </row>
    <row r="6" spans="1:15" ht="12.75" hidden="1">
      <c r="A6" s="22">
        <v>411111</v>
      </c>
      <c r="B6" s="43" t="s">
        <v>157</v>
      </c>
      <c r="C6" s="44">
        <v>139155188.16</v>
      </c>
      <c r="D6" s="23">
        <v>137343146.66</v>
      </c>
      <c r="E6" s="262">
        <v>0</v>
      </c>
      <c r="F6" s="262">
        <v>0</v>
      </c>
      <c r="G6" s="262">
        <v>1760830.41</v>
      </c>
      <c r="H6" s="262">
        <v>0</v>
      </c>
      <c r="I6" s="262">
        <v>0</v>
      </c>
      <c r="J6" s="262">
        <v>51211.09</v>
      </c>
      <c r="K6" s="262">
        <v>0</v>
      </c>
      <c r="L6" s="238">
        <v>0</v>
      </c>
      <c r="M6" s="45"/>
      <c r="N6" s="46"/>
      <c r="O6" s="47"/>
    </row>
    <row r="7" spans="1:15" ht="12.75" hidden="1">
      <c r="A7" s="26">
        <v>411112</v>
      </c>
      <c r="B7" s="48" t="s">
        <v>158</v>
      </c>
      <c r="C7" s="32">
        <v>1405657.28</v>
      </c>
      <c r="D7" s="15">
        <v>1405657.28</v>
      </c>
      <c r="E7" s="245"/>
      <c r="F7" s="245"/>
      <c r="G7" s="245"/>
      <c r="H7" s="245"/>
      <c r="I7" s="245"/>
      <c r="J7" s="245"/>
      <c r="K7" s="245"/>
      <c r="L7" s="224"/>
      <c r="M7" s="13"/>
      <c r="N7" s="49"/>
      <c r="O7" s="50"/>
    </row>
    <row r="8" spans="1:15" ht="12.75" hidden="1">
      <c r="A8" s="26">
        <v>411113</v>
      </c>
      <c r="B8" s="48" t="s">
        <v>159</v>
      </c>
      <c r="C8" s="32">
        <v>2915514.53</v>
      </c>
      <c r="D8" s="15">
        <v>2915514.53</v>
      </c>
      <c r="E8" s="245"/>
      <c r="F8" s="245"/>
      <c r="G8" s="245"/>
      <c r="H8" s="245"/>
      <c r="I8" s="245"/>
      <c r="J8" s="245"/>
      <c r="K8" s="245"/>
      <c r="L8" s="224"/>
      <c r="M8" s="13"/>
      <c r="N8" s="49"/>
      <c r="O8" s="50"/>
    </row>
    <row r="9" spans="1:15" ht="12.75" hidden="1">
      <c r="A9" s="26">
        <v>411114</v>
      </c>
      <c r="B9" s="48" t="s">
        <v>160</v>
      </c>
      <c r="C9" s="32">
        <v>1160926.84</v>
      </c>
      <c r="D9" s="15">
        <v>1160926.84</v>
      </c>
      <c r="E9" s="245"/>
      <c r="F9" s="245"/>
      <c r="G9" s="245"/>
      <c r="H9" s="245"/>
      <c r="I9" s="245"/>
      <c r="J9" s="245"/>
      <c r="K9" s="245"/>
      <c r="L9" s="224"/>
      <c r="M9" s="13"/>
      <c r="N9" s="49"/>
      <c r="O9" s="50"/>
    </row>
    <row r="10" spans="1:15" ht="12.75" hidden="1">
      <c r="A10" s="26">
        <v>411115</v>
      </c>
      <c r="B10" s="48" t="s">
        <v>161</v>
      </c>
      <c r="C10" s="32">
        <v>9268646.66</v>
      </c>
      <c r="D10" s="15">
        <v>9268646.66</v>
      </c>
      <c r="E10" s="245"/>
      <c r="F10" s="245"/>
      <c r="G10" s="245"/>
      <c r="H10" s="245"/>
      <c r="I10" s="245"/>
      <c r="J10" s="245"/>
      <c r="K10" s="245"/>
      <c r="L10" s="224"/>
      <c r="M10" s="13"/>
      <c r="N10" s="49"/>
      <c r="O10" s="50"/>
    </row>
    <row r="11" spans="1:15" ht="12.75" hidden="1">
      <c r="A11" s="26">
        <v>411117</v>
      </c>
      <c r="B11" s="48" t="s">
        <v>162</v>
      </c>
      <c r="C11" s="32">
        <v>1878910.64</v>
      </c>
      <c r="D11" s="15">
        <v>1878910.64</v>
      </c>
      <c r="E11" s="245"/>
      <c r="F11" s="245"/>
      <c r="G11" s="245"/>
      <c r="H11" s="245"/>
      <c r="I11" s="245"/>
      <c r="J11" s="245"/>
      <c r="K11" s="245"/>
      <c r="L11" s="224"/>
      <c r="M11" s="13"/>
      <c r="N11" s="49"/>
      <c r="O11" s="50"/>
    </row>
    <row r="12" spans="1:15" ht="12.75" hidden="1">
      <c r="A12" s="26">
        <v>411119</v>
      </c>
      <c r="B12" s="48" t="s">
        <v>163</v>
      </c>
      <c r="C12" s="32">
        <v>2390573.25</v>
      </c>
      <c r="D12" s="15">
        <v>0</v>
      </c>
      <c r="E12" s="245"/>
      <c r="F12" s="245"/>
      <c r="G12" s="245">
        <v>2390573.25</v>
      </c>
      <c r="H12" s="245"/>
      <c r="I12" s="245"/>
      <c r="J12" s="245"/>
      <c r="K12" s="245"/>
      <c r="L12" s="224"/>
      <c r="M12" s="13"/>
      <c r="N12" s="49"/>
      <c r="O12" s="50"/>
    </row>
    <row r="13" spans="1:15" ht="12.75" hidden="1">
      <c r="A13" s="26">
        <v>411131</v>
      </c>
      <c r="B13" s="48" t="s">
        <v>164</v>
      </c>
      <c r="C13" s="32">
        <v>2518669.97</v>
      </c>
      <c r="D13" s="15">
        <v>0</v>
      </c>
      <c r="E13" s="245"/>
      <c r="F13" s="245"/>
      <c r="G13" s="245">
        <v>212753.38</v>
      </c>
      <c r="H13" s="245"/>
      <c r="I13" s="245"/>
      <c r="J13" s="245"/>
      <c r="K13" s="245"/>
      <c r="L13" s="224">
        <v>2305916.59</v>
      </c>
      <c r="M13" s="13"/>
      <c r="N13" s="49"/>
      <c r="O13" s="50"/>
    </row>
    <row r="14" spans="1:15" ht="12.75" hidden="1">
      <c r="A14" s="12">
        <v>4111</v>
      </c>
      <c r="B14" s="28" t="s">
        <v>47</v>
      </c>
      <c r="C14" s="31">
        <f aca="true" t="shared" si="0" ref="C14:L14">SUM(C6:C13)</f>
        <v>160694087.32999998</v>
      </c>
      <c r="D14" s="9">
        <f t="shared" si="0"/>
        <v>153972802.60999998</v>
      </c>
      <c r="E14" s="243">
        <f t="shared" si="0"/>
        <v>0</v>
      </c>
      <c r="F14" s="243">
        <f t="shared" si="0"/>
        <v>0</v>
      </c>
      <c r="G14" s="243">
        <f t="shared" si="0"/>
        <v>4364157.04</v>
      </c>
      <c r="H14" s="243">
        <f t="shared" si="0"/>
        <v>0</v>
      </c>
      <c r="I14" s="243">
        <f t="shared" si="0"/>
        <v>0</v>
      </c>
      <c r="J14" s="243">
        <f t="shared" si="0"/>
        <v>51211.09</v>
      </c>
      <c r="K14" s="243">
        <f t="shared" si="0"/>
        <v>0</v>
      </c>
      <c r="L14" s="244">
        <f t="shared" si="0"/>
        <v>2305916.59</v>
      </c>
      <c r="M14" s="13"/>
      <c r="N14" s="49"/>
      <c r="O14" s="50"/>
    </row>
    <row r="15" spans="1:15" ht="12.75" hidden="1">
      <c r="A15" s="26">
        <v>412111</v>
      </c>
      <c r="B15" s="48" t="s">
        <v>165</v>
      </c>
      <c r="C15" s="32">
        <v>19322076.56</v>
      </c>
      <c r="D15" s="15">
        <v>18515522.39</v>
      </c>
      <c r="E15" s="245"/>
      <c r="F15" s="245"/>
      <c r="G15" s="245">
        <v>523698.86</v>
      </c>
      <c r="H15" s="245"/>
      <c r="I15" s="224"/>
      <c r="J15" s="224">
        <v>6145.32</v>
      </c>
      <c r="K15" s="224"/>
      <c r="L15" s="224">
        <v>276709.99</v>
      </c>
      <c r="M15" s="13"/>
      <c r="N15" s="49"/>
      <c r="O15" s="50"/>
    </row>
    <row r="16" spans="1:15" ht="12.75" hidden="1">
      <c r="A16" s="26">
        <v>412113</v>
      </c>
      <c r="B16" s="48" t="s">
        <v>166</v>
      </c>
      <c r="C16" s="32">
        <v>1655970.52</v>
      </c>
      <c r="D16" s="15">
        <v>1490287.98</v>
      </c>
      <c r="E16" s="245"/>
      <c r="F16" s="245"/>
      <c r="G16" s="245">
        <v>165682.54</v>
      </c>
      <c r="H16" s="245"/>
      <c r="I16" s="224"/>
      <c r="J16" s="224"/>
      <c r="K16" s="224"/>
      <c r="L16" s="224"/>
      <c r="M16" s="13"/>
      <c r="N16" s="49"/>
      <c r="O16" s="50"/>
    </row>
    <row r="17" spans="1:15" ht="12.75" hidden="1">
      <c r="A17" s="12">
        <v>4121</v>
      </c>
      <c r="B17" s="28" t="s">
        <v>48</v>
      </c>
      <c r="C17" s="31">
        <f>SUM(C15:C16)</f>
        <v>20978047.08</v>
      </c>
      <c r="D17" s="9">
        <f aca="true" t="shared" si="1" ref="D17:J17">SUM(D15:D16)</f>
        <v>20005810.37</v>
      </c>
      <c r="E17" s="243">
        <f t="shared" si="1"/>
        <v>0</v>
      </c>
      <c r="F17" s="243">
        <f t="shared" si="1"/>
        <v>0</v>
      </c>
      <c r="G17" s="243">
        <f t="shared" si="1"/>
        <v>689381.4</v>
      </c>
      <c r="H17" s="243">
        <f t="shared" si="1"/>
        <v>0</v>
      </c>
      <c r="I17" s="243">
        <f t="shared" si="1"/>
        <v>0</v>
      </c>
      <c r="J17" s="243">
        <f t="shared" si="1"/>
        <v>6145.32</v>
      </c>
      <c r="K17" s="243">
        <f>SUM(K15:K16)</f>
        <v>0</v>
      </c>
      <c r="L17" s="244">
        <f>SUM(L15:L16)</f>
        <v>276709.99</v>
      </c>
      <c r="M17" s="13"/>
      <c r="N17" s="49"/>
      <c r="O17" s="50"/>
    </row>
    <row r="18" spans="1:15" ht="12.75" hidden="1">
      <c r="A18" s="26">
        <v>412211</v>
      </c>
      <c r="B18" s="48" t="s">
        <v>3</v>
      </c>
      <c r="C18" s="32">
        <v>8292391.44</v>
      </c>
      <c r="D18" s="15">
        <v>7946245.29</v>
      </c>
      <c r="E18" s="245"/>
      <c r="F18" s="245"/>
      <c r="G18" s="245">
        <v>224754.08</v>
      </c>
      <c r="H18" s="245"/>
      <c r="I18" s="224"/>
      <c r="J18" s="224">
        <v>2637.37</v>
      </c>
      <c r="K18" s="224"/>
      <c r="L18" s="224">
        <v>118754.7</v>
      </c>
      <c r="M18" s="13"/>
      <c r="N18" s="49"/>
      <c r="O18" s="50"/>
    </row>
    <row r="19" spans="1:15" ht="12.75" hidden="1">
      <c r="A19" s="12">
        <v>4122</v>
      </c>
      <c r="B19" s="28" t="s">
        <v>3</v>
      </c>
      <c r="C19" s="31">
        <f>SUM(C18)</f>
        <v>8292391.44</v>
      </c>
      <c r="D19" s="9">
        <f aca="true" t="shared" si="2" ref="D19:I19">SUM(D18)</f>
        <v>7946245.29</v>
      </c>
      <c r="E19" s="243">
        <f t="shared" si="2"/>
        <v>0</v>
      </c>
      <c r="F19" s="243">
        <f t="shared" si="2"/>
        <v>0</v>
      </c>
      <c r="G19" s="243">
        <f t="shared" si="2"/>
        <v>224754.08</v>
      </c>
      <c r="H19" s="243">
        <f t="shared" si="2"/>
        <v>0</v>
      </c>
      <c r="I19" s="243">
        <f t="shared" si="2"/>
        <v>0</v>
      </c>
      <c r="J19" s="243">
        <f>SUM(J18)</f>
        <v>2637.37</v>
      </c>
      <c r="K19" s="243">
        <f>SUM(K18)</f>
        <v>0</v>
      </c>
      <c r="L19" s="244">
        <f>SUM(L18)</f>
        <v>118754.7</v>
      </c>
      <c r="M19" s="13"/>
      <c r="N19" s="49"/>
      <c r="O19" s="50"/>
    </row>
    <row r="20" spans="1:15" ht="12.75" hidden="1">
      <c r="A20" s="26">
        <v>412311</v>
      </c>
      <c r="B20" s="48" t="s">
        <v>167</v>
      </c>
      <c r="C20" s="32">
        <v>1207629.94</v>
      </c>
      <c r="D20" s="15">
        <v>1157220.32</v>
      </c>
      <c r="E20" s="245"/>
      <c r="F20" s="245"/>
      <c r="G20" s="245">
        <v>32731.16</v>
      </c>
      <c r="H20" s="245"/>
      <c r="I20" s="224"/>
      <c r="J20" s="224">
        <v>384.08</v>
      </c>
      <c r="K20" s="224"/>
      <c r="L20" s="224">
        <v>17294.38</v>
      </c>
      <c r="M20" s="13"/>
      <c r="N20" s="49"/>
      <c r="O20" s="50"/>
    </row>
    <row r="21" spans="1:15" ht="12.75" hidden="1">
      <c r="A21" s="12">
        <v>4123</v>
      </c>
      <c r="B21" s="28" t="s">
        <v>49</v>
      </c>
      <c r="C21" s="31">
        <f>SUM(C20)</f>
        <v>1207629.94</v>
      </c>
      <c r="D21" s="9">
        <f aca="true" t="shared" si="3" ref="D21:I21">SUM(D20)</f>
        <v>1157220.32</v>
      </c>
      <c r="E21" s="243">
        <f t="shared" si="3"/>
        <v>0</v>
      </c>
      <c r="F21" s="243">
        <f t="shared" si="3"/>
        <v>0</v>
      </c>
      <c r="G21" s="243">
        <f t="shared" si="3"/>
        <v>32731.16</v>
      </c>
      <c r="H21" s="243">
        <f t="shared" si="3"/>
        <v>0</v>
      </c>
      <c r="I21" s="243">
        <f t="shared" si="3"/>
        <v>0</v>
      </c>
      <c r="J21" s="243">
        <f>SUM(J20)</f>
        <v>384.08</v>
      </c>
      <c r="K21" s="243">
        <f>SUM(K20)</f>
        <v>0</v>
      </c>
      <c r="L21" s="244">
        <f>SUM(L20)</f>
        <v>17294.38</v>
      </c>
      <c r="M21" s="9"/>
      <c r="N21" s="49"/>
      <c r="O21" s="50"/>
    </row>
    <row r="22" spans="1:17" ht="22.5">
      <c r="A22" s="51" t="s">
        <v>151</v>
      </c>
      <c r="B22" s="52" t="s">
        <v>139</v>
      </c>
      <c r="C22" s="31">
        <f>D22+E22+F22+G22+H22+I22+J22+K22+L22</f>
        <v>412865779.4</v>
      </c>
      <c r="D22" s="9">
        <f>330697021.53+41927204.25+17031041.74+2480248.8</f>
        <v>392135516.32</v>
      </c>
      <c r="E22" s="243">
        <f aca="true" t="shared" si="4" ref="E22:K22">E14+E17+E19+E21</f>
        <v>0</v>
      </c>
      <c r="F22" s="243">
        <f t="shared" si="4"/>
        <v>0</v>
      </c>
      <c r="G22" s="243">
        <f>11337606.39+1697728.1+584308.25+85093.39</f>
        <v>13704736.13</v>
      </c>
      <c r="H22" s="243">
        <f t="shared" si="4"/>
        <v>0</v>
      </c>
      <c r="I22" s="243">
        <f t="shared" si="4"/>
        <v>0</v>
      </c>
      <c r="J22" s="243">
        <f>51211.09+6145.32+2637.37+384.08</f>
        <v>60377.86</v>
      </c>
      <c r="K22" s="243">
        <f t="shared" si="4"/>
        <v>0</v>
      </c>
      <c r="L22" s="244">
        <f>5907675.18+708921.07+304245.26+44307.58</f>
        <v>6965149.09</v>
      </c>
      <c r="M22" s="53">
        <v>419337377.87</v>
      </c>
      <c r="N22" s="3">
        <f>C22*100/M22</f>
        <v>98.45670841390955</v>
      </c>
      <c r="O22" s="30">
        <f>C22*100/566749458.89</f>
        <v>72.84802357087611</v>
      </c>
      <c r="Q22" s="11">
        <f>C22-D22-E22-F22-G22-H22-I22-J22-K22-L22</f>
        <v>-1.7695128917694092E-08</v>
      </c>
    </row>
    <row r="23" spans="1:17" ht="12.75" hidden="1">
      <c r="A23" s="26">
        <v>413142</v>
      </c>
      <c r="B23" s="48" t="s">
        <v>71</v>
      </c>
      <c r="C23" s="31">
        <f aca="true" t="shared" si="5" ref="C23:C86">D23+E23+F23+G23+H23+I23+J23+K23+L23</f>
        <v>0</v>
      </c>
      <c r="D23" s="9"/>
      <c r="E23" s="243"/>
      <c r="F23" s="243"/>
      <c r="G23" s="245"/>
      <c r="H23" s="243"/>
      <c r="I23" s="244"/>
      <c r="J23" s="244"/>
      <c r="K23" s="244"/>
      <c r="L23" s="224"/>
      <c r="M23" s="13"/>
      <c r="N23" s="3" t="e">
        <f aca="true" t="shared" si="6" ref="N23:N32">C23*100/M23</f>
        <v>#DIV/0!</v>
      </c>
      <c r="O23" s="30">
        <f aca="true" t="shared" si="7" ref="O23:O86">C23*100/566749458.89</f>
        <v>0</v>
      </c>
      <c r="Q23" s="11">
        <f aca="true" t="shared" si="8" ref="Q23:Q86">C23-D23-E23-F23-G23-H23-I23-J23-K23-L23</f>
        <v>0</v>
      </c>
    </row>
    <row r="24" spans="1:17" ht="12.75" hidden="1">
      <c r="A24" s="26">
        <v>413151</v>
      </c>
      <c r="B24" s="48" t="s">
        <v>4</v>
      </c>
      <c r="C24" s="31">
        <f t="shared" si="5"/>
        <v>77976.49</v>
      </c>
      <c r="D24" s="15"/>
      <c r="E24" s="245"/>
      <c r="F24" s="245"/>
      <c r="G24" s="245"/>
      <c r="H24" s="245">
        <v>77976.49</v>
      </c>
      <c r="I24" s="224"/>
      <c r="J24" s="224"/>
      <c r="K24" s="224"/>
      <c r="L24" s="224"/>
      <c r="M24" s="13"/>
      <c r="N24" s="3" t="e">
        <f t="shared" si="6"/>
        <v>#DIV/0!</v>
      </c>
      <c r="O24" s="30">
        <f t="shared" si="7"/>
        <v>0.013758546881142133</v>
      </c>
      <c r="Q24" s="11">
        <f t="shared" si="8"/>
        <v>0</v>
      </c>
    </row>
    <row r="25" spans="1:17" ht="22.5">
      <c r="A25" s="54">
        <v>413000</v>
      </c>
      <c r="B25" s="55" t="s">
        <v>140</v>
      </c>
      <c r="C25" s="31">
        <f t="shared" si="5"/>
        <v>695256.4299999999</v>
      </c>
      <c r="D25" s="9">
        <f aca="true" t="shared" si="9" ref="D25:K25">SUM(D23:D24)</f>
        <v>0</v>
      </c>
      <c r="E25" s="243">
        <f t="shared" si="9"/>
        <v>0</v>
      </c>
      <c r="F25" s="243">
        <f t="shared" si="9"/>
        <v>0</v>
      </c>
      <c r="G25" s="243">
        <v>617279.94</v>
      </c>
      <c r="H25" s="243">
        <v>77976.49</v>
      </c>
      <c r="I25" s="243">
        <f t="shared" si="9"/>
        <v>0</v>
      </c>
      <c r="J25" s="243">
        <f t="shared" si="9"/>
        <v>0</v>
      </c>
      <c r="K25" s="243">
        <f t="shared" si="9"/>
        <v>0</v>
      </c>
      <c r="L25" s="244">
        <f>P5</f>
        <v>0</v>
      </c>
      <c r="M25" s="14">
        <v>700000</v>
      </c>
      <c r="N25" s="3">
        <f t="shared" si="6"/>
        <v>99.32234714285714</v>
      </c>
      <c r="O25" s="30">
        <f t="shared" si="7"/>
        <v>0.12267438796707203</v>
      </c>
      <c r="Q25" s="11">
        <f t="shared" si="8"/>
        <v>-1.4551915228366852E-11</v>
      </c>
    </row>
    <row r="26" spans="1:17" ht="12.75">
      <c r="A26" s="54">
        <v>414000</v>
      </c>
      <c r="B26" s="55" t="s">
        <v>137</v>
      </c>
      <c r="C26" s="31">
        <f t="shared" si="5"/>
        <v>24574789.619999997</v>
      </c>
      <c r="D26" s="9">
        <f aca="true" t="shared" si="10" ref="D26:L26">D29+D33+D36</f>
        <v>758099.67</v>
      </c>
      <c r="E26" s="243">
        <f t="shared" si="10"/>
        <v>0</v>
      </c>
      <c r="F26" s="243">
        <f t="shared" si="10"/>
        <v>0</v>
      </c>
      <c r="G26" s="243">
        <f t="shared" si="10"/>
        <v>676360.94</v>
      </c>
      <c r="H26" s="243">
        <f t="shared" si="10"/>
        <v>0</v>
      </c>
      <c r="I26" s="243">
        <f t="shared" si="10"/>
        <v>436249.2</v>
      </c>
      <c r="J26" s="243">
        <f t="shared" si="10"/>
        <v>22704079.81</v>
      </c>
      <c r="K26" s="243">
        <f t="shared" si="10"/>
        <v>0</v>
      </c>
      <c r="L26" s="244">
        <f t="shared" si="10"/>
        <v>0</v>
      </c>
      <c r="M26" s="5">
        <f>M33+M36</f>
        <v>24144079.81</v>
      </c>
      <c r="N26" s="3">
        <f t="shared" si="6"/>
        <v>101.78391478734926</v>
      </c>
      <c r="O26" s="30">
        <f t="shared" si="7"/>
        <v>4.3360940596450925</v>
      </c>
      <c r="Q26" s="11">
        <f t="shared" si="8"/>
        <v>-3.725290298461914E-09</v>
      </c>
    </row>
    <row r="27" spans="1:17" ht="12.75" hidden="1">
      <c r="A27" s="26">
        <v>414111</v>
      </c>
      <c r="B27" s="48" t="s">
        <v>168</v>
      </c>
      <c r="C27" s="31">
        <f t="shared" si="5"/>
        <v>3.23</v>
      </c>
      <c r="D27" s="15"/>
      <c r="E27" s="245"/>
      <c r="F27" s="245"/>
      <c r="G27" s="245"/>
      <c r="H27" s="245"/>
      <c r="I27" s="224">
        <v>3.23</v>
      </c>
      <c r="J27" s="224"/>
      <c r="K27" s="224"/>
      <c r="L27" s="224"/>
      <c r="M27" s="14"/>
      <c r="N27" s="3" t="e">
        <f t="shared" si="6"/>
        <v>#DIV/0!</v>
      </c>
      <c r="O27" s="30">
        <f t="shared" si="7"/>
        <v>5.69916732929234E-07</v>
      </c>
      <c r="Q27" s="11">
        <f t="shared" si="8"/>
        <v>0</v>
      </c>
    </row>
    <row r="28" spans="1:17" ht="12.75" hidden="1">
      <c r="A28" s="26">
        <v>414121</v>
      </c>
      <c r="B28" s="48" t="s">
        <v>169</v>
      </c>
      <c r="C28" s="31">
        <f t="shared" si="5"/>
        <v>0</v>
      </c>
      <c r="D28" s="15"/>
      <c r="E28" s="245"/>
      <c r="F28" s="245"/>
      <c r="G28" s="245"/>
      <c r="H28" s="245"/>
      <c r="I28" s="224"/>
      <c r="J28" s="224"/>
      <c r="K28" s="224"/>
      <c r="L28" s="224"/>
      <c r="M28" s="14"/>
      <c r="N28" s="3" t="e">
        <f t="shared" si="6"/>
        <v>#DIV/0!</v>
      </c>
      <c r="O28" s="30">
        <f t="shared" si="7"/>
        <v>0</v>
      </c>
      <c r="Q28" s="11">
        <f t="shared" si="8"/>
        <v>0</v>
      </c>
    </row>
    <row r="29" spans="1:17" ht="12.75">
      <c r="A29" s="12">
        <v>414100</v>
      </c>
      <c r="B29" s="28" t="s">
        <v>170</v>
      </c>
      <c r="C29" s="31">
        <f t="shared" si="5"/>
        <v>436249.2</v>
      </c>
      <c r="D29" s="9">
        <f aca="true" t="shared" si="11" ref="D29:L29">SUM(D27:D28)</f>
        <v>0</v>
      </c>
      <c r="E29" s="243">
        <f t="shared" si="11"/>
        <v>0</v>
      </c>
      <c r="F29" s="243">
        <f t="shared" si="11"/>
        <v>0</v>
      </c>
      <c r="G29" s="243">
        <f t="shared" si="11"/>
        <v>0</v>
      </c>
      <c r="H29" s="243">
        <f t="shared" si="11"/>
        <v>0</v>
      </c>
      <c r="I29" s="243">
        <v>436249.2</v>
      </c>
      <c r="J29" s="243">
        <f t="shared" si="11"/>
        <v>0</v>
      </c>
      <c r="K29" s="243">
        <f t="shared" si="11"/>
        <v>0</v>
      </c>
      <c r="L29" s="244">
        <f t="shared" si="11"/>
        <v>0</v>
      </c>
      <c r="M29" s="5">
        <v>504000</v>
      </c>
      <c r="N29" s="3">
        <f t="shared" si="6"/>
        <v>86.55738095238095</v>
      </c>
      <c r="O29" s="30">
        <f t="shared" si="7"/>
        <v>0.07697390675139071</v>
      </c>
      <c r="Q29" s="11">
        <f t="shared" si="8"/>
        <v>0</v>
      </c>
    </row>
    <row r="30" spans="1:17" ht="12.75" hidden="1">
      <c r="A30" s="26">
        <v>414311</v>
      </c>
      <c r="B30" s="48" t="s">
        <v>5</v>
      </c>
      <c r="C30" s="31">
        <f t="shared" si="5"/>
        <v>543566.8099999999</v>
      </c>
      <c r="D30" s="15">
        <v>428159.67</v>
      </c>
      <c r="E30" s="245"/>
      <c r="F30" s="245"/>
      <c r="G30" s="245">
        <v>115407.14</v>
      </c>
      <c r="H30" s="245"/>
      <c r="I30" s="224"/>
      <c r="J30" s="224"/>
      <c r="K30" s="224"/>
      <c r="L30" s="224"/>
      <c r="M30" s="14"/>
      <c r="N30" s="3" t="e">
        <f t="shared" si="6"/>
        <v>#DIV/0!</v>
      </c>
      <c r="O30" s="30">
        <f t="shared" si="7"/>
        <v>0.09590954194550019</v>
      </c>
      <c r="Q30" s="11">
        <f t="shared" si="8"/>
        <v>-4.3655745685100555E-11</v>
      </c>
    </row>
    <row r="31" spans="1:17" ht="12.75" hidden="1">
      <c r="A31" s="26">
        <v>414312</v>
      </c>
      <c r="B31" s="48" t="s">
        <v>171</v>
      </c>
      <c r="C31" s="31">
        <f t="shared" si="5"/>
        <v>22704079.81</v>
      </c>
      <c r="D31" s="15"/>
      <c r="E31" s="245"/>
      <c r="F31" s="245"/>
      <c r="G31" s="245"/>
      <c r="H31" s="245"/>
      <c r="I31" s="224"/>
      <c r="J31" s="224">
        <v>22704079.81</v>
      </c>
      <c r="K31" s="224"/>
      <c r="L31" s="224"/>
      <c r="M31" s="14"/>
      <c r="N31" s="3" t="e">
        <f t="shared" si="6"/>
        <v>#DIV/0!</v>
      </c>
      <c r="O31" s="30">
        <f t="shared" si="7"/>
        <v>4.006017024606744</v>
      </c>
      <c r="Q31" s="11">
        <f t="shared" si="8"/>
        <v>0</v>
      </c>
    </row>
    <row r="32" spans="1:17" ht="12.75" hidden="1">
      <c r="A32" s="26">
        <v>414314</v>
      </c>
      <c r="B32" s="48" t="s">
        <v>97</v>
      </c>
      <c r="C32" s="31">
        <f t="shared" si="5"/>
        <v>35196</v>
      </c>
      <c r="D32" s="15">
        <v>35196</v>
      </c>
      <c r="E32" s="245"/>
      <c r="F32" s="245"/>
      <c r="G32" s="245"/>
      <c r="H32" s="245"/>
      <c r="I32" s="224"/>
      <c r="J32" s="224"/>
      <c r="K32" s="224"/>
      <c r="L32" s="224"/>
      <c r="M32" s="14"/>
      <c r="N32" s="3" t="e">
        <f t="shared" si="6"/>
        <v>#DIV/0!</v>
      </c>
      <c r="O32" s="30">
        <f t="shared" si="7"/>
        <v>0.00621015149603013</v>
      </c>
      <c r="Q32" s="11">
        <f t="shared" si="8"/>
        <v>0</v>
      </c>
    </row>
    <row r="33" spans="1:17" ht="12.75">
      <c r="A33" s="12">
        <v>414300</v>
      </c>
      <c r="B33" s="28" t="s">
        <v>50</v>
      </c>
      <c r="C33" s="31">
        <f t="shared" si="5"/>
        <v>24084466.419999998</v>
      </c>
      <c r="D33" s="9">
        <v>758099.67</v>
      </c>
      <c r="E33" s="243">
        <f>SUM(E30:E32)</f>
        <v>0</v>
      </c>
      <c r="F33" s="243">
        <f>SUM(F30:F32)</f>
        <v>0</v>
      </c>
      <c r="G33" s="243">
        <v>622286.94</v>
      </c>
      <c r="H33" s="243">
        <f>SUM(H30:H32)</f>
        <v>0</v>
      </c>
      <c r="I33" s="243">
        <f>SUM(I30:I32)</f>
        <v>0</v>
      </c>
      <c r="J33" s="243">
        <v>22704079.81</v>
      </c>
      <c r="K33" s="243">
        <f>SUM(K30:K32)</f>
        <v>0</v>
      </c>
      <c r="L33" s="244">
        <f>SUM(L30:L32)</f>
        <v>0</v>
      </c>
      <c r="M33" s="14">
        <v>24084079.81</v>
      </c>
      <c r="N33" s="3"/>
      <c r="O33" s="30">
        <f t="shared" si="7"/>
        <v>4.249579076294193</v>
      </c>
      <c r="Q33" s="11">
        <f t="shared" si="8"/>
        <v>-3.725290298461914E-09</v>
      </c>
    </row>
    <row r="34" spans="1:17" ht="12.75" hidden="1">
      <c r="A34" s="26">
        <v>414411</v>
      </c>
      <c r="B34" s="48" t="s">
        <v>72</v>
      </c>
      <c r="C34" s="31">
        <f t="shared" si="5"/>
        <v>0</v>
      </c>
      <c r="D34" s="9"/>
      <c r="E34" s="243"/>
      <c r="F34" s="243"/>
      <c r="G34" s="245"/>
      <c r="H34" s="243"/>
      <c r="I34" s="244"/>
      <c r="J34" s="244"/>
      <c r="K34" s="244"/>
      <c r="L34" s="224"/>
      <c r="M34" s="14"/>
      <c r="N34" s="3"/>
      <c r="O34" s="30">
        <f t="shared" si="7"/>
        <v>0</v>
      </c>
      <c r="Q34" s="11">
        <f t="shared" si="8"/>
        <v>0</v>
      </c>
    </row>
    <row r="35" spans="1:17" ht="12.75" hidden="1">
      <c r="A35" s="26">
        <v>414419</v>
      </c>
      <c r="B35" s="48" t="s">
        <v>119</v>
      </c>
      <c r="C35" s="31">
        <f t="shared" si="5"/>
        <v>0</v>
      </c>
      <c r="D35" s="9"/>
      <c r="E35" s="243"/>
      <c r="F35" s="243"/>
      <c r="G35" s="245"/>
      <c r="H35" s="243"/>
      <c r="I35" s="244"/>
      <c r="J35" s="244"/>
      <c r="K35" s="244"/>
      <c r="L35" s="224"/>
      <c r="M35" s="14"/>
      <c r="N35" s="3"/>
      <c r="O35" s="30">
        <f t="shared" si="7"/>
        <v>0</v>
      </c>
      <c r="Q35" s="11">
        <f t="shared" si="8"/>
        <v>0</v>
      </c>
    </row>
    <row r="36" spans="1:17" ht="12.75">
      <c r="A36" s="12">
        <v>414400</v>
      </c>
      <c r="B36" s="28" t="s">
        <v>72</v>
      </c>
      <c r="C36" s="31">
        <f t="shared" si="5"/>
        <v>54074</v>
      </c>
      <c r="D36" s="9">
        <f aca="true" t="shared" si="12" ref="D36:L36">SUM(D34:D35)</f>
        <v>0</v>
      </c>
      <c r="E36" s="243">
        <f t="shared" si="12"/>
        <v>0</v>
      </c>
      <c r="F36" s="243">
        <f t="shared" si="12"/>
        <v>0</v>
      </c>
      <c r="G36" s="243">
        <v>54074</v>
      </c>
      <c r="H36" s="243">
        <f t="shared" si="12"/>
        <v>0</v>
      </c>
      <c r="I36" s="243">
        <f t="shared" si="12"/>
        <v>0</v>
      </c>
      <c r="J36" s="243"/>
      <c r="K36" s="243">
        <f t="shared" si="12"/>
        <v>0</v>
      </c>
      <c r="L36" s="244">
        <f t="shared" si="12"/>
        <v>0</v>
      </c>
      <c r="M36" s="14">
        <v>60000</v>
      </c>
      <c r="N36" s="3"/>
      <c r="O36" s="30">
        <f t="shared" si="7"/>
        <v>0.009541076599509412</v>
      </c>
      <c r="Q36" s="11">
        <f t="shared" si="8"/>
        <v>0</v>
      </c>
    </row>
    <row r="37" spans="1:17" ht="12.75" hidden="1">
      <c r="A37" s="26">
        <v>415112</v>
      </c>
      <c r="B37" s="48" t="s">
        <v>172</v>
      </c>
      <c r="C37" s="31">
        <f t="shared" si="5"/>
        <v>5093513.29</v>
      </c>
      <c r="D37" s="15">
        <v>4993333.78</v>
      </c>
      <c r="E37" s="245"/>
      <c r="F37" s="245"/>
      <c r="G37" s="245">
        <v>100179.51</v>
      </c>
      <c r="H37" s="245"/>
      <c r="I37" s="224"/>
      <c r="J37" s="224"/>
      <c r="K37" s="224"/>
      <c r="L37" s="224"/>
      <c r="M37" s="14"/>
      <c r="N37" s="3" t="e">
        <f>C37*100/M37</f>
        <v>#DIV/0!</v>
      </c>
      <c r="O37" s="30">
        <f t="shared" si="7"/>
        <v>0.8987239793710322</v>
      </c>
      <c r="Q37" s="11">
        <f t="shared" si="8"/>
        <v>-2.1827872842550278E-10</v>
      </c>
    </row>
    <row r="38" spans="1:17" ht="22.5">
      <c r="A38" s="54">
        <v>415100</v>
      </c>
      <c r="B38" s="55" t="s">
        <v>138</v>
      </c>
      <c r="C38" s="31">
        <f t="shared" si="5"/>
        <v>11731265.73</v>
      </c>
      <c r="D38" s="9">
        <v>11499230.99</v>
      </c>
      <c r="E38" s="243">
        <f aca="true" t="shared" si="13" ref="E38:L38">SUM(E37)</f>
        <v>0</v>
      </c>
      <c r="F38" s="243">
        <f t="shared" si="13"/>
        <v>0</v>
      </c>
      <c r="G38" s="243">
        <v>232034.74</v>
      </c>
      <c r="H38" s="243">
        <f t="shared" si="13"/>
        <v>0</v>
      </c>
      <c r="I38" s="243">
        <f t="shared" si="13"/>
        <v>0</v>
      </c>
      <c r="J38" s="243"/>
      <c r="K38" s="243">
        <f t="shared" si="13"/>
        <v>0</v>
      </c>
      <c r="L38" s="244">
        <f t="shared" si="13"/>
        <v>0</v>
      </c>
      <c r="M38" s="14">
        <v>13692000</v>
      </c>
      <c r="N38" s="3">
        <f>C38*100/M38</f>
        <v>85.6797088080631</v>
      </c>
      <c r="O38" s="30">
        <f t="shared" si="7"/>
        <v>2.0699209405468375</v>
      </c>
      <c r="Q38" s="11">
        <f t="shared" si="8"/>
        <v>2.3283064365386963E-10</v>
      </c>
    </row>
    <row r="39" spans="1:17" ht="13.5" hidden="1" thickBot="1">
      <c r="A39" s="36"/>
      <c r="B39" s="37"/>
      <c r="C39" s="31">
        <f t="shared" si="5"/>
        <v>0</v>
      </c>
      <c r="D39" s="36"/>
      <c r="E39" s="256"/>
      <c r="F39" s="257"/>
      <c r="G39" s="258"/>
      <c r="H39" s="258"/>
      <c r="I39" s="263"/>
      <c r="J39" s="260"/>
      <c r="K39" s="264"/>
      <c r="L39" s="261"/>
      <c r="M39" s="14"/>
      <c r="N39" s="3" t="e">
        <f>C39*100/M39</f>
        <v>#DIV/0!</v>
      </c>
      <c r="O39" s="30">
        <f t="shared" si="7"/>
        <v>0</v>
      </c>
      <c r="Q39" s="11">
        <f t="shared" si="8"/>
        <v>0</v>
      </c>
    </row>
    <row r="40" spans="1:17" ht="12.75" hidden="1">
      <c r="A40" s="26">
        <v>416111</v>
      </c>
      <c r="B40" s="48" t="s">
        <v>173</v>
      </c>
      <c r="C40" s="31">
        <f t="shared" si="5"/>
        <v>3998109.5</v>
      </c>
      <c r="D40" s="15">
        <v>3998109.5</v>
      </c>
      <c r="E40" s="245"/>
      <c r="F40" s="245"/>
      <c r="G40" s="245"/>
      <c r="H40" s="245"/>
      <c r="I40" s="244"/>
      <c r="J40" s="244"/>
      <c r="K40" s="244"/>
      <c r="L40" s="224"/>
      <c r="M40" s="14"/>
      <c r="N40" s="3" t="e">
        <f>C40*100/M40</f>
        <v>#DIV/0!</v>
      </c>
      <c r="O40" s="30">
        <f t="shared" si="7"/>
        <v>0.7054456669143446</v>
      </c>
      <c r="Q40" s="11">
        <f t="shared" si="8"/>
        <v>0</v>
      </c>
    </row>
    <row r="41" spans="1:17" ht="22.5">
      <c r="A41" s="54">
        <v>416100</v>
      </c>
      <c r="B41" s="55" t="s">
        <v>73</v>
      </c>
      <c r="C41" s="31">
        <f t="shared" si="5"/>
        <v>7531587.55</v>
      </c>
      <c r="D41" s="9">
        <v>7531587.55</v>
      </c>
      <c r="E41" s="243">
        <f aca="true" t="shared" si="14" ref="E41:L41">SUM(E40)</f>
        <v>0</v>
      </c>
      <c r="F41" s="243">
        <f t="shared" si="14"/>
        <v>0</v>
      </c>
      <c r="G41" s="243">
        <f t="shared" si="14"/>
        <v>0</v>
      </c>
      <c r="H41" s="243">
        <f t="shared" si="14"/>
        <v>0</v>
      </c>
      <c r="I41" s="243">
        <f t="shared" si="14"/>
        <v>0</v>
      </c>
      <c r="J41" s="243"/>
      <c r="K41" s="243">
        <f t="shared" si="14"/>
        <v>0</v>
      </c>
      <c r="L41" s="244">
        <f t="shared" si="14"/>
        <v>0</v>
      </c>
      <c r="M41" s="14">
        <v>7532000</v>
      </c>
      <c r="N41" s="3">
        <v>0</v>
      </c>
      <c r="O41" s="30">
        <f t="shared" si="7"/>
        <v>1.3289095263982953</v>
      </c>
      <c r="Q41" s="11">
        <f t="shared" si="8"/>
        <v>0</v>
      </c>
    </row>
    <row r="42" spans="1:17" ht="12.75">
      <c r="A42" s="54">
        <v>421000</v>
      </c>
      <c r="B42" s="55" t="s">
        <v>128</v>
      </c>
      <c r="C42" s="31">
        <f t="shared" si="5"/>
        <v>21508728.8</v>
      </c>
      <c r="D42" s="9">
        <f aca="true" t="shared" si="15" ref="D42:M42">D45+D48+D54+D61+D66+D69</f>
        <v>16524026.64</v>
      </c>
      <c r="E42" s="243">
        <f t="shared" si="15"/>
        <v>2695818.68</v>
      </c>
      <c r="F42" s="243">
        <f t="shared" si="15"/>
        <v>0</v>
      </c>
      <c r="G42" s="243">
        <f t="shared" si="15"/>
        <v>667208.6100000001</v>
      </c>
      <c r="H42" s="243">
        <f t="shared" si="15"/>
        <v>390344.36999999994</v>
      </c>
      <c r="I42" s="243">
        <f t="shared" si="15"/>
        <v>0</v>
      </c>
      <c r="J42" s="243">
        <f t="shared" si="15"/>
        <v>1231330.5</v>
      </c>
      <c r="K42" s="243">
        <f t="shared" si="15"/>
        <v>0</v>
      </c>
      <c r="L42" s="244">
        <f t="shared" si="15"/>
        <v>0</v>
      </c>
      <c r="M42" s="10">
        <f t="shared" si="15"/>
        <v>22664330.5</v>
      </c>
      <c r="N42" s="3">
        <f>C42*100/M42</f>
        <v>94.90123169532848</v>
      </c>
      <c r="O42" s="30">
        <f t="shared" si="7"/>
        <v>3.7951035440114316</v>
      </c>
      <c r="Q42" s="11">
        <f t="shared" si="8"/>
        <v>0</v>
      </c>
    </row>
    <row r="43" spans="1:17" ht="12.75" hidden="1">
      <c r="A43" s="26">
        <v>421111</v>
      </c>
      <c r="B43" s="48" t="s">
        <v>174</v>
      </c>
      <c r="C43" s="31">
        <f t="shared" si="5"/>
        <v>415981.61</v>
      </c>
      <c r="D43" s="15">
        <v>328063.89</v>
      </c>
      <c r="E43" s="245"/>
      <c r="F43" s="245"/>
      <c r="G43" s="245">
        <v>81505.59</v>
      </c>
      <c r="H43" s="245">
        <v>6412.13</v>
      </c>
      <c r="I43" s="224"/>
      <c r="J43" s="224"/>
      <c r="K43" s="224"/>
      <c r="L43" s="224"/>
      <c r="M43" s="14"/>
      <c r="N43" s="3" t="e">
        <f>C43*100/M43</f>
        <v>#DIV/0!</v>
      </c>
      <c r="O43" s="30">
        <f t="shared" si="7"/>
        <v>0.07339779570583367</v>
      </c>
      <c r="Q43" s="11">
        <f t="shared" si="8"/>
        <v>-2.4556356947869062E-11</v>
      </c>
    </row>
    <row r="44" spans="1:17" ht="12.75" hidden="1">
      <c r="A44" s="26">
        <v>421121</v>
      </c>
      <c r="B44" s="48" t="s">
        <v>175</v>
      </c>
      <c r="C44" s="31">
        <f t="shared" si="5"/>
        <v>900</v>
      </c>
      <c r="D44" s="15"/>
      <c r="E44" s="245"/>
      <c r="F44" s="245"/>
      <c r="G44" s="245">
        <v>900</v>
      </c>
      <c r="H44" s="245"/>
      <c r="I44" s="224"/>
      <c r="J44" s="224"/>
      <c r="K44" s="224"/>
      <c r="L44" s="224"/>
      <c r="M44" s="14"/>
      <c r="N44" s="3" t="e">
        <f>C44*100/M44</f>
        <v>#DIV/0!</v>
      </c>
      <c r="O44" s="30">
        <f t="shared" si="7"/>
        <v>0.00015880032806077729</v>
      </c>
      <c r="Q44" s="11">
        <f t="shared" si="8"/>
        <v>0</v>
      </c>
    </row>
    <row r="45" spans="1:17" ht="12.75">
      <c r="A45" s="12">
        <v>421100</v>
      </c>
      <c r="B45" s="28" t="s">
        <v>51</v>
      </c>
      <c r="C45" s="31">
        <f t="shared" si="5"/>
        <v>923535.7300000001</v>
      </c>
      <c r="D45" s="9">
        <v>727749.06</v>
      </c>
      <c r="E45" s="243">
        <f aca="true" t="shared" si="16" ref="E45:L45">SUM(E43:E44)</f>
        <v>0</v>
      </c>
      <c r="F45" s="243">
        <f t="shared" si="16"/>
        <v>0</v>
      </c>
      <c r="G45" s="243">
        <v>185237.06</v>
      </c>
      <c r="H45" s="243">
        <v>10549.61</v>
      </c>
      <c r="I45" s="243">
        <f t="shared" si="16"/>
        <v>0</v>
      </c>
      <c r="J45" s="243"/>
      <c r="K45" s="243">
        <f t="shared" si="16"/>
        <v>0</v>
      </c>
      <c r="L45" s="244">
        <f t="shared" si="16"/>
        <v>0</v>
      </c>
      <c r="M45" s="14">
        <v>996000</v>
      </c>
      <c r="N45" s="3"/>
      <c r="O45" s="30">
        <f t="shared" si="7"/>
        <v>0.16295308544427717</v>
      </c>
      <c r="Q45" s="11">
        <f t="shared" si="8"/>
        <v>4.3655745685100555E-11</v>
      </c>
    </row>
    <row r="46" spans="1:17" ht="12.75" hidden="1">
      <c r="A46" s="26">
        <v>421211</v>
      </c>
      <c r="B46" s="48" t="s">
        <v>6</v>
      </c>
      <c r="C46" s="31">
        <f t="shared" si="5"/>
        <v>4503806.86</v>
      </c>
      <c r="D46" s="15">
        <v>4339550.12</v>
      </c>
      <c r="E46" s="245"/>
      <c r="F46" s="245"/>
      <c r="G46" s="245"/>
      <c r="H46" s="245">
        <v>164256.74</v>
      </c>
      <c r="I46" s="224"/>
      <c r="J46" s="224"/>
      <c r="K46" s="224"/>
      <c r="L46" s="224"/>
      <c r="M46" s="14"/>
      <c r="N46" s="3"/>
      <c r="O46" s="30">
        <f t="shared" si="7"/>
        <v>0.7946733409893103</v>
      </c>
      <c r="Q46" s="11">
        <f t="shared" si="8"/>
        <v>2.3283064365386963E-10</v>
      </c>
    </row>
    <row r="47" spans="1:17" ht="12.75" hidden="1">
      <c r="A47" s="26">
        <v>421225</v>
      </c>
      <c r="B47" s="48" t="s">
        <v>7</v>
      </c>
      <c r="C47" s="31">
        <f t="shared" si="5"/>
        <v>2247167.56</v>
      </c>
      <c r="D47" s="15">
        <v>2247167.56</v>
      </c>
      <c r="E47" s="245"/>
      <c r="F47" s="245"/>
      <c r="G47" s="245"/>
      <c r="H47" s="245"/>
      <c r="I47" s="224"/>
      <c r="J47" s="224"/>
      <c r="K47" s="224"/>
      <c r="L47" s="224"/>
      <c r="M47" s="14"/>
      <c r="N47" s="3"/>
      <c r="O47" s="30">
        <f t="shared" si="7"/>
        <v>0.39650105081726267</v>
      </c>
      <c r="Q47" s="11">
        <f t="shared" si="8"/>
        <v>0</v>
      </c>
    </row>
    <row r="48" spans="1:17" ht="12.75">
      <c r="A48" s="12">
        <v>421200</v>
      </c>
      <c r="B48" s="28" t="s">
        <v>52</v>
      </c>
      <c r="C48" s="31">
        <f t="shared" si="5"/>
        <v>13519664.5</v>
      </c>
      <c r="D48" s="9">
        <v>13355407.76</v>
      </c>
      <c r="E48" s="243">
        <f aca="true" t="shared" si="17" ref="E48:L48">SUM(E46:E47)</f>
        <v>0</v>
      </c>
      <c r="F48" s="243">
        <f t="shared" si="17"/>
        <v>0</v>
      </c>
      <c r="G48" s="243">
        <f t="shared" si="17"/>
        <v>0</v>
      </c>
      <c r="H48" s="243">
        <v>164256.74</v>
      </c>
      <c r="I48" s="243">
        <f t="shared" si="17"/>
        <v>0</v>
      </c>
      <c r="J48" s="243"/>
      <c r="K48" s="243">
        <f t="shared" si="17"/>
        <v>0</v>
      </c>
      <c r="L48" s="244">
        <f t="shared" si="17"/>
        <v>0</v>
      </c>
      <c r="M48" s="14">
        <v>14270000</v>
      </c>
      <c r="N48" s="3"/>
      <c r="O48" s="30">
        <f t="shared" si="7"/>
        <v>2.3854746198573826</v>
      </c>
      <c r="Q48" s="11">
        <f t="shared" si="8"/>
        <v>2.3283064365386963E-10</v>
      </c>
    </row>
    <row r="49" spans="1:17" ht="12.75" hidden="1">
      <c r="A49" s="26">
        <v>421311</v>
      </c>
      <c r="B49" s="48" t="s">
        <v>8</v>
      </c>
      <c r="C49" s="31">
        <f t="shared" si="5"/>
        <v>814249.0599999999</v>
      </c>
      <c r="D49" s="15">
        <v>157944.09</v>
      </c>
      <c r="E49" s="245">
        <v>588166.39</v>
      </c>
      <c r="F49" s="245"/>
      <c r="G49" s="245"/>
      <c r="H49" s="245">
        <v>68138.58</v>
      </c>
      <c r="I49" s="224"/>
      <c r="J49" s="224"/>
      <c r="K49" s="224"/>
      <c r="L49" s="224"/>
      <c r="M49" s="14"/>
      <c r="N49" s="3"/>
      <c r="O49" s="30">
        <f t="shared" si="7"/>
        <v>0.14367001983464392</v>
      </c>
      <c r="Q49" s="11">
        <f t="shared" si="8"/>
        <v>-4.3655745685100555E-11</v>
      </c>
    </row>
    <row r="50" spans="1:17" ht="12.75" hidden="1">
      <c r="A50" s="26">
        <v>421321</v>
      </c>
      <c r="B50" s="48" t="s">
        <v>91</v>
      </c>
      <c r="C50" s="31">
        <f t="shared" si="5"/>
        <v>0</v>
      </c>
      <c r="D50" s="15"/>
      <c r="E50" s="245"/>
      <c r="F50" s="245"/>
      <c r="G50" s="245"/>
      <c r="H50" s="245"/>
      <c r="I50" s="224"/>
      <c r="J50" s="224"/>
      <c r="K50" s="224"/>
      <c r="L50" s="224"/>
      <c r="M50" s="14"/>
      <c r="N50" s="3"/>
      <c r="O50" s="30">
        <f t="shared" si="7"/>
        <v>0</v>
      </c>
      <c r="Q50" s="11">
        <f t="shared" si="8"/>
        <v>0</v>
      </c>
    </row>
    <row r="51" spans="1:17" ht="12.75" hidden="1">
      <c r="A51" s="26">
        <v>421324</v>
      </c>
      <c r="B51" s="48" t="s">
        <v>9</v>
      </c>
      <c r="C51" s="31">
        <f t="shared" si="5"/>
        <v>587470.77</v>
      </c>
      <c r="D51" s="15">
        <v>110871.42</v>
      </c>
      <c r="E51" s="245">
        <v>423189.11</v>
      </c>
      <c r="F51" s="245"/>
      <c r="G51" s="245"/>
      <c r="H51" s="245">
        <v>53410.24</v>
      </c>
      <c r="I51" s="224"/>
      <c r="J51" s="224"/>
      <c r="K51" s="224"/>
      <c r="L51" s="224"/>
      <c r="M51" s="14"/>
      <c r="N51" s="3"/>
      <c r="O51" s="30">
        <f t="shared" si="7"/>
        <v>0.10365616778013048</v>
      </c>
      <c r="Q51" s="11">
        <f t="shared" si="8"/>
        <v>5.093170329928398E-11</v>
      </c>
    </row>
    <row r="52" spans="1:17" ht="12.75" hidden="1">
      <c r="A52" s="26">
        <v>421325</v>
      </c>
      <c r="B52" s="48" t="s">
        <v>85</v>
      </c>
      <c r="C52" s="31">
        <f t="shared" si="5"/>
        <v>13150</v>
      </c>
      <c r="D52" s="15">
        <v>13150</v>
      </c>
      <c r="E52" s="245"/>
      <c r="F52" s="245"/>
      <c r="G52" s="245"/>
      <c r="H52" s="245"/>
      <c r="I52" s="224"/>
      <c r="J52" s="224"/>
      <c r="K52" s="224"/>
      <c r="L52" s="224"/>
      <c r="M52" s="14"/>
      <c r="N52" s="3"/>
      <c r="O52" s="30">
        <f t="shared" si="7"/>
        <v>0.0023202492377769122</v>
      </c>
      <c r="Q52" s="11">
        <f t="shared" si="8"/>
        <v>0</v>
      </c>
    </row>
    <row r="53" spans="1:17" ht="12.75" hidden="1">
      <c r="A53" s="26">
        <v>421392</v>
      </c>
      <c r="B53" s="48" t="s">
        <v>98</v>
      </c>
      <c r="C53" s="31">
        <f t="shared" si="5"/>
        <v>53247.91</v>
      </c>
      <c r="D53" s="15"/>
      <c r="E53" s="245"/>
      <c r="F53" s="245"/>
      <c r="G53" s="245">
        <v>53247.91</v>
      </c>
      <c r="H53" s="245"/>
      <c r="I53" s="224"/>
      <c r="J53" s="224"/>
      <c r="K53" s="224"/>
      <c r="L53" s="224"/>
      <c r="M53" s="14"/>
      <c r="N53" s="3"/>
      <c r="O53" s="30">
        <f t="shared" si="7"/>
        <v>0.009395317307278604</v>
      </c>
      <c r="Q53" s="11">
        <f t="shared" si="8"/>
        <v>0</v>
      </c>
    </row>
    <row r="54" spans="1:17" ht="12.75">
      <c r="A54" s="12">
        <v>421300</v>
      </c>
      <c r="B54" s="28" t="s">
        <v>53</v>
      </c>
      <c r="C54" s="31">
        <f t="shared" si="5"/>
        <v>3149053.4000000004</v>
      </c>
      <c r="D54" s="9">
        <v>394265.47</v>
      </c>
      <c r="E54" s="243">
        <v>2509323.18</v>
      </c>
      <c r="F54" s="243">
        <f aca="true" t="shared" si="18" ref="F54:L54">SUM(F49:F53)</f>
        <v>0</v>
      </c>
      <c r="G54" s="243">
        <v>53247.91</v>
      </c>
      <c r="H54" s="243">
        <v>192216.84</v>
      </c>
      <c r="I54" s="243">
        <f t="shared" si="18"/>
        <v>0</v>
      </c>
      <c r="J54" s="243"/>
      <c r="K54" s="243">
        <f t="shared" si="18"/>
        <v>0</v>
      </c>
      <c r="L54" s="244">
        <f t="shared" si="18"/>
        <v>0</v>
      </c>
      <c r="M54" s="14">
        <v>3246000</v>
      </c>
      <c r="N54" s="3"/>
      <c r="O54" s="30">
        <f t="shared" si="7"/>
        <v>0.5556341255565624</v>
      </c>
      <c r="Q54" s="11">
        <f t="shared" si="8"/>
        <v>4.656612873077393E-10</v>
      </c>
    </row>
    <row r="55" spans="1:17" ht="12.75" hidden="1">
      <c r="A55" s="26">
        <v>421411</v>
      </c>
      <c r="B55" s="48" t="s">
        <v>10</v>
      </c>
      <c r="C55" s="31">
        <f t="shared" si="5"/>
        <v>330237.01</v>
      </c>
      <c r="D55" s="15">
        <v>319851.48</v>
      </c>
      <c r="E55" s="245"/>
      <c r="F55" s="245"/>
      <c r="G55" s="245">
        <v>2558.64</v>
      </c>
      <c r="H55" s="245">
        <v>7826.89</v>
      </c>
      <c r="I55" s="224"/>
      <c r="J55" s="224"/>
      <c r="K55" s="224"/>
      <c r="L55" s="224"/>
      <c r="M55" s="14"/>
      <c r="N55" s="3"/>
      <c r="O55" s="30">
        <f t="shared" si="7"/>
        <v>0.0582686061397891</v>
      </c>
      <c r="Q55" s="11">
        <f t="shared" si="8"/>
        <v>2.8194335754960775E-11</v>
      </c>
    </row>
    <row r="56" spans="1:17" ht="12.75" hidden="1">
      <c r="A56" s="26">
        <v>421412</v>
      </c>
      <c r="B56" s="48" t="s">
        <v>11</v>
      </c>
      <c r="C56" s="31">
        <f t="shared" si="5"/>
        <v>50702.4</v>
      </c>
      <c r="D56" s="15">
        <v>44969</v>
      </c>
      <c r="E56" s="245"/>
      <c r="F56" s="245"/>
      <c r="G56" s="245">
        <v>5733.4</v>
      </c>
      <c r="H56" s="245"/>
      <c r="I56" s="224"/>
      <c r="J56" s="224"/>
      <c r="K56" s="224"/>
      <c r="L56" s="224"/>
      <c r="M56" s="14"/>
      <c r="N56" s="3"/>
      <c r="O56" s="30">
        <f t="shared" si="7"/>
        <v>0.008946175281631948</v>
      </c>
      <c r="Q56" s="11">
        <f t="shared" si="8"/>
        <v>1.8189894035458565E-12</v>
      </c>
    </row>
    <row r="57" spans="1:17" ht="12.75" hidden="1">
      <c r="A57" s="26">
        <v>421414</v>
      </c>
      <c r="B57" s="48" t="s">
        <v>12</v>
      </c>
      <c r="C57" s="31">
        <f t="shared" si="5"/>
        <v>253119.1</v>
      </c>
      <c r="D57" s="15">
        <v>211209.84</v>
      </c>
      <c r="E57" s="245"/>
      <c r="F57" s="245"/>
      <c r="G57" s="245">
        <v>41909.26</v>
      </c>
      <c r="H57" s="245"/>
      <c r="I57" s="224"/>
      <c r="J57" s="224"/>
      <c r="K57" s="224"/>
      <c r="L57" s="224"/>
      <c r="M57" s="14"/>
      <c r="N57" s="3"/>
      <c r="O57" s="30">
        <f t="shared" si="7"/>
        <v>0.04466155124272077</v>
      </c>
      <c r="Q57" s="11">
        <f t="shared" si="8"/>
        <v>7.275957614183426E-12</v>
      </c>
    </row>
    <row r="58" spans="1:17" ht="12.75" hidden="1">
      <c r="A58" s="26">
        <v>421419</v>
      </c>
      <c r="B58" s="48" t="s">
        <v>79</v>
      </c>
      <c r="C58" s="31">
        <f t="shared" si="5"/>
        <v>0</v>
      </c>
      <c r="D58" s="15"/>
      <c r="E58" s="245"/>
      <c r="F58" s="245"/>
      <c r="G58" s="245"/>
      <c r="H58" s="245"/>
      <c r="I58" s="224"/>
      <c r="J58" s="224"/>
      <c r="K58" s="224"/>
      <c r="L58" s="224"/>
      <c r="M58" s="14"/>
      <c r="N58" s="3"/>
      <c r="O58" s="30">
        <f t="shared" si="7"/>
        <v>0</v>
      </c>
      <c r="Q58" s="11">
        <f t="shared" si="8"/>
        <v>0</v>
      </c>
    </row>
    <row r="59" spans="1:17" ht="12.75" hidden="1">
      <c r="A59" s="26">
        <v>421421</v>
      </c>
      <c r="B59" s="48" t="s">
        <v>74</v>
      </c>
      <c r="C59" s="31">
        <f t="shared" si="5"/>
        <v>9300</v>
      </c>
      <c r="D59" s="15">
        <v>9300</v>
      </c>
      <c r="E59" s="245"/>
      <c r="F59" s="245"/>
      <c r="G59" s="245"/>
      <c r="H59" s="245"/>
      <c r="I59" s="224"/>
      <c r="J59" s="224"/>
      <c r="K59" s="224"/>
      <c r="L59" s="224"/>
      <c r="M59" s="14"/>
      <c r="N59" s="3"/>
      <c r="O59" s="30">
        <f t="shared" si="7"/>
        <v>0.0016409367232946984</v>
      </c>
      <c r="Q59" s="11">
        <f t="shared" si="8"/>
        <v>0</v>
      </c>
    </row>
    <row r="60" spans="1:17" ht="12.75" hidden="1">
      <c r="A60" s="26">
        <v>421422</v>
      </c>
      <c r="B60" s="48" t="s">
        <v>13</v>
      </c>
      <c r="C60" s="31">
        <f t="shared" si="5"/>
        <v>138680.5</v>
      </c>
      <c r="D60" s="15">
        <v>63590.5</v>
      </c>
      <c r="E60" s="245">
        <v>74510</v>
      </c>
      <c r="F60" s="245"/>
      <c r="G60" s="245">
        <v>580</v>
      </c>
      <c r="H60" s="245"/>
      <c r="I60" s="224"/>
      <c r="J60" s="224"/>
      <c r="K60" s="224"/>
      <c r="L60" s="224"/>
      <c r="M60" s="14"/>
      <c r="N60" s="3"/>
      <c r="O60" s="30">
        <f t="shared" si="7"/>
        <v>0.024469454328480692</v>
      </c>
      <c r="Q60" s="11">
        <f t="shared" si="8"/>
        <v>0</v>
      </c>
    </row>
    <row r="61" spans="1:17" ht="12.75">
      <c r="A61" s="12">
        <v>421400</v>
      </c>
      <c r="B61" s="28" t="s">
        <v>54</v>
      </c>
      <c r="C61" s="31">
        <f t="shared" si="5"/>
        <v>1512543.82</v>
      </c>
      <c r="D61" s="9">
        <v>1247409.84</v>
      </c>
      <c r="E61" s="243">
        <v>186495.5</v>
      </c>
      <c r="F61" s="243">
        <f>SUM(F55:F60)</f>
        <v>0</v>
      </c>
      <c r="G61" s="243">
        <v>55317.3</v>
      </c>
      <c r="H61" s="243">
        <v>23321.18</v>
      </c>
      <c r="I61" s="243">
        <f>SUM(I55:I60)</f>
        <v>0</v>
      </c>
      <c r="J61" s="243">
        <f>SUM(J55:J60)</f>
        <v>0</v>
      </c>
      <c r="K61" s="243">
        <f>SUM(K55:K60)</f>
        <v>0</v>
      </c>
      <c r="L61" s="244">
        <f>SUM(L55:L60)</f>
        <v>0</v>
      </c>
      <c r="M61" s="14">
        <v>1680000</v>
      </c>
      <c r="N61" s="3"/>
      <c r="O61" s="30">
        <f t="shared" si="7"/>
        <v>0.2668805053581125</v>
      </c>
      <c r="Q61" s="11">
        <f t="shared" si="8"/>
        <v>-2.1827872842550278E-11</v>
      </c>
    </row>
    <row r="62" spans="1:17" ht="12.75" hidden="1">
      <c r="A62" s="57">
        <v>421511</v>
      </c>
      <c r="B62" s="58" t="s">
        <v>75</v>
      </c>
      <c r="C62" s="31">
        <f t="shared" si="5"/>
        <v>72150.09</v>
      </c>
      <c r="D62" s="59">
        <v>72150.09</v>
      </c>
      <c r="E62" s="265"/>
      <c r="F62" s="265"/>
      <c r="G62" s="266"/>
      <c r="H62" s="267"/>
      <c r="I62" s="268"/>
      <c r="J62" s="268"/>
      <c r="K62" s="269"/>
      <c r="L62" s="238"/>
      <c r="M62" s="14"/>
      <c r="N62" s="3"/>
      <c r="O62" s="30">
        <f t="shared" si="7"/>
        <v>0.01273050884623845</v>
      </c>
      <c r="Q62" s="11">
        <f t="shared" si="8"/>
        <v>0</v>
      </c>
    </row>
    <row r="63" spans="1:17" ht="12.75" hidden="1">
      <c r="A63" s="26">
        <v>421512</v>
      </c>
      <c r="B63" s="61" t="s">
        <v>14</v>
      </c>
      <c r="C63" s="31">
        <f t="shared" si="5"/>
        <v>143111.33</v>
      </c>
      <c r="D63" s="15">
        <v>143111.33</v>
      </c>
      <c r="E63" s="245"/>
      <c r="F63" s="245"/>
      <c r="G63" s="245"/>
      <c r="H63" s="245"/>
      <c r="I63" s="224"/>
      <c r="J63" s="224"/>
      <c r="K63" s="224"/>
      <c r="L63" s="224"/>
      <c r="M63" s="14"/>
      <c r="N63" s="3"/>
      <c r="O63" s="30">
        <f t="shared" si="7"/>
        <v>0.02525125128134906</v>
      </c>
      <c r="Q63" s="11">
        <f t="shared" si="8"/>
        <v>0</v>
      </c>
    </row>
    <row r="64" spans="1:17" ht="12.75" hidden="1">
      <c r="A64" s="26">
        <v>421513</v>
      </c>
      <c r="B64" s="48" t="s">
        <v>15</v>
      </c>
      <c r="C64" s="31">
        <f t="shared" si="5"/>
        <v>167522.04</v>
      </c>
      <c r="D64" s="15">
        <v>167522.04</v>
      </c>
      <c r="E64" s="245"/>
      <c r="F64" s="245"/>
      <c r="G64" s="245"/>
      <c r="H64" s="245"/>
      <c r="I64" s="224"/>
      <c r="J64" s="224"/>
      <c r="K64" s="224"/>
      <c r="L64" s="224"/>
      <c r="M64" s="14"/>
      <c r="N64" s="3"/>
      <c r="O64" s="30">
        <f t="shared" si="7"/>
        <v>0.029558394343789613</v>
      </c>
      <c r="Q64" s="11">
        <f t="shared" si="8"/>
        <v>0</v>
      </c>
    </row>
    <row r="65" spans="1:17" ht="12.75" hidden="1">
      <c r="A65" s="26">
        <v>421521</v>
      </c>
      <c r="B65" s="48" t="s">
        <v>99</v>
      </c>
      <c r="C65" s="31">
        <f t="shared" si="5"/>
        <v>58394.4</v>
      </c>
      <c r="D65" s="15">
        <v>58394.4</v>
      </c>
      <c r="E65" s="245"/>
      <c r="F65" s="245"/>
      <c r="G65" s="245"/>
      <c r="H65" s="245"/>
      <c r="I65" s="224"/>
      <c r="J65" s="224"/>
      <c r="K65" s="224"/>
      <c r="L65" s="224"/>
      <c r="M65" s="14"/>
      <c r="N65" s="3"/>
      <c r="O65" s="30">
        <f t="shared" si="7"/>
        <v>0.010303388752124725</v>
      </c>
      <c r="Q65" s="11">
        <f t="shared" si="8"/>
        <v>0</v>
      </c>
    </row>
    <row r="66" spans="1:17" ht="12.75">
      <c r="A66" s="12">
        <v>421500</v>
      </c>
      <c r="B66" s="28" t="s">
        <v>293</v>
      </c>
      <c r="C66" s="31">
        <f t="shared" si="5"/>
        <v>799194.51</v>
      </c>
      <c r="D66" s="9">
        <v>799194.51</v>
      </c>
      <c r="E66" s="243">
        <f aca="true" t="shared" si="19" ref="E66:L66">SUM(E62:E65)</f>
        <v>0</v>
      </c>
      <c r="F66" s="243">
        <f t="shared" si="19"/>
        <v>0</v>
      </c>
      <c r="G66" s="243">
        <f t="shared" si="19"/>
        <v>0</v>
      </c>
      <c r="H66" s="243">
        <f t="shared" si="19"/>
        <v>0</v>
      </c>
      <c r="I66" s="243">
        <f t="shared" si="19"/>
        <v>0</v>
      </c>
      <c r="J66" s="243">
        <f t="shared" si="19"/>
        <v>0</v>
      </c>
      <c r="K66" s="243">
        <f t="shared" si="19"/>
        <v>0</v>
      </c>
      <c r="L66" s="244">
        <f t="shared" si="19"/>
        <v>0</v>
      </c>
      <c r="M66" s="14">
        <v>860000</v>
      </c>
      <c r="N66" s="3"/>
      <c r="O66" s="30">
        <f t="shared" si="7"/>
        <v>0.14101372263596904</v>
      </c>
      <c r="Q66" s="11">
        <f t="shared" si="8"/>
        <v>0</v>
      </c>
    </row>
    <row r="67" spans="1:17" ht="12.75" hidden="1">
      <c r="A67" s="20">
        <v>421911</v>
      </c>
      <c r="B67" s="62" t="s">
        <v>176</v>
      </c>
      <c r="C67" s="31">
        <f t="shared" si="5"/>
        <v>1650</v>
      </c>
      <c r="D67" s="63"/>
      <c r="E67" s="241"/>
      <c r="F67" s="241"/>
      <c r="G67" s="241">
        <v>1650</v>
      </c>
      <c r="H67" s="241"/>
      <c r="I67" s="270"/>
      <c r="J67" s="270"/>
      <c r="K67" s="270"/>
      <c r="L67" s="270"/>
      <c r="M67" s="14"/>
      <c r="N67" s="3"/>
      <c r="O67" s="30">
        <f t="shared" si="7"/>
        <v>0.0002911339347780917</v>
      </c>
      <c r="Q67" s="11">
        <f t="shared" si="8"/>
        <v>0</v>
      </c>
    </row>
    <row r="68" spans="1:17" ht="12.75" hidden="1">
      <c r="A68" s="20">
        <v>421919</v>
      </c>
      <c r="B68" s="62" t="s">
        <v>177</v>
      </c>
      <c r="C68" s="31">
        <f t="shared" si="5"/>
        <v>1393409.74</v>
      </c>
      <c r="D68" s="15"/>
      <c r="E68" s="245"/>
      <c r="F68" s="245"/>
      <c r="G68" s="245">
        <v>162079.24</v>
      </c>
      <c r="H68" s="245"/>
      <c r="I68" s="224"/>
      <c r="J68" s="224">
        <v>1231330.5</v>
      </c>
      <c r="K68" s="224"/>
      <c r="L68" s="224"/>
      <c r="M68" s="14"/>
      <c r="N68" s="3"/>
      <c r="O68" s="30">
        <f t="shared" si="7"/>
        <v>0.24585991537231375</v>
      </c>
      <c r="Q68" s="11">
        <f t="shared" si="8"/>
        <v>0</v>
      </c>
    </row>
    <row r="69" spans="1:17" ht="12.75">
      <c r="A69" s="12">
        <v>421900</v>
      </c>
      <c r="B69" s="28" t="s">
        <v>178</v>
      </c>
      <c r="C69" s="31">
        <f t="shared" si="5"/>
        <v>1604736.84</v>
      </c>
      <c r="D69" s="9">
        <f aca="true" t="shared" si="20" ref="D69:L69">SUM(D67:D68)</f>
        <v>0</v>
      </c>
      <c r="E69" s="243">
        <f t="shared" si="20"/>
        <v>0</v>
      </c>
      <c r="F69" s="243">
        <f t="shared" si="20"/>
        <v>0</v>
      </c>
      <c r="G69" s="243">
        <v>373406.34</v>
      </c>
      <c r="H69" s="243">
        <f t="shared" si="20"/>
        <v>0</v>
      </c>
      <c r="I69" s="243">
        <f t="shared" si="20"/>
        <v>0</v>
      </c>
      <c r="J69" s="243">
        <v>1231330.5</v>
      </c>
      <c r="K69" s="243">
        <f t="shared" si="20"/>
        <v>0</v>
      </c>
      <c r="L69" s="244">
        <f t="shared" si="20"/>
        <v>0</v>
      </c>
      <c r="M69" s="14">
        <f>6000+1606330.5</f>
        <v>1612330.5</v>
      </c>
      <c r="N69" s="3"/>
      <c r="O69" s="30">
        <f t="shared" si="7"/>
        <v>0.28314748515912785</v>
      </c>
      <c r="Q69" s="11">
        <f t="shared" si="8"/>
        <v>0</v>
      </c>
    </row>
    <row r="70" spans="1:17" ht="12.75">
      <c r="A70" s="4">
        <v>422000</v>
      </c>
      <c r="B70" s="65" t="s">
        <v>129</v>
      </c>
      <c r="C70" s="31">
        <f t="shared" si="5"/>
        <v>933873.72</v>
      </c>
      <c r="D70" s="9">
        <f aca="true" t="shared" si="21" ref="D70:L70">D74+D78</f>
        <v>249623</v>
      </c>
      <c r="E70" s="243">
        <f t="shared" si="21"/>
        <v>0</v>
      </c>
      <c r="F70" s="243">
        <f t="shared" si="21"/>
        <v>0</v>
      </c>
      <c r="G70" s="243">
        <f t="shared" si="21"/>
        <v>631135.72</v>
      </c>
      <c r="H70" s="243">
        <f t="shared" si="21"/>
        <v>53115</v>
      </c>
      <c r="I70" s="243">
        <f t="shared" si="21"/>
        <v>0</v>
      </c>
      <c r="J70" s="243">
        <f t="shared" si="21"/>
        <v>0</v>
      </c>
      <c r="K70" s="243">
        <f t="shared" si="21"/>
        <v>0</v>
      </c>
      <c r="L70" s="244">
        <f t="shared" si="21"/>
        <v>0</v>
      </c>
      <c r="M70" s="14">
        <v>985000</v>
      </c>
      <c r="N70" s="3">
        <f>C70*100/M70</f>
        <v>94.80951472081219</v>
      </c>
      <c r="O70" s="30">
        <f t="shared" si="7"/>
        <v>0.16477717011482051</v>
      </c>
      <c r="Q70" s="11">
        <f t="shared" si="8"/>
        <v>0</v>
      </c>
    </row>
    <row r="71" spans="1:17" ht="12.75" hidden="1">
      <c r="A71" s="26">
        <v>422111</v>
      </c>
      <c r="B71" s="48" t="s">
        <v>179</v>
      </c>
      <c r="C71" s="31">
        <f t="shared" si="5"/>
        <v>185451</v>
      </c>
      <c r="D71" s="15"/>
      <c r="E71" s="245"/>
      <c r="F71" s="245"/>
      <c r="G71" s="245">
        <v>172443</v>
      </c>
      <c r="H71" s="245">
        <v>13008</v>
      </c>
      <c r="I71" s="224"/>
      <c r="J71" s="224"/>
      <c r="K71" s="224"/>
      <c r="L71" s="224"/>
      <c r="M71" s="14"/>
      <c r="N71" s="3" t="e">
        <f>C71*100/M71</f>
        <v>#DIV/0!</v>
      </c>
      <c r="O71" s="30">
        <f t="shared" si="7"/>
        <v>0.032721866265776896</v>
      </c>
      <c r="Q71" s="11">
        <f t="shared" si="8"/>
        <v>0</v>
      </c>
    </row>
    <row r="72" spans="1:17" ht="12.75" hidden="1">
      <c r="A72" s="26">
        <v>422121</v>
      </c>
      <c r="B72" s="48" t="s">
        <v>180</v>
      </c>
      <c r="C72" s="31">
        <f t="shared" si="5"/>
        <v>101195.61</v>
      </c>
      <c r="D72" s="15"/>
      <c r="E72" s="245"/>
      <c r="F72" s="245"/>
      <c r="G72" s="245">
        <v>101195.61</v>
      </c>
      <c r="H72" s="245"/>
      <c r="I72" s="224"/>
      <c r="J72" s="224"/>
      <c r="K72" s="224"/>
      <c r="L72" s="224"/>
      <c r="M72" s="14"/>
      <c r="N72" s="3" t="e">
        <f>C72*100/M72</f>
        <v>#DIV/0!</v>
      </c>
      <c r="O72" s="30">
        <f t="shared" si="7"/>
        <v>0.017855440073678303</v>
      </c>
      <c r="Q72" s="11">
        <f t="shared" si="8"/>
        <v>0</v>
      </c>
    </row>
    <row r="73" spans="1:17" ht="12.75" hidden="1">
      <c r="A73" s="26">
        <v>422199</v>
      </c>
      <c r="B73" s="48" t="s">
        <v>16</v>
      </c>
      <c r="C73" s="31">
        <f t="shared" si="5"/>
        <v>57940</v>
      </c>
      <c r="D73" s="15"/>
      <c r="E73" s="245"/>
      <c r="F73" s="245"/>
      <c r="G73" s="245">
        <v>57600</v>
      </c>
      <c r="H73" s="245">
        <v>340</v>
      </c>
      <c r="I73" s="224"/>
      <c r="J73" s="224"/>
      <c r="K73" s="224"/>
      <c r="L73" s="224"/>
      <c r="M73" s="14"/>
      <c r="N73" s="3" t="e">
        <f>C73*100/M73</f>
        <v>#DIV/0!</v>
      </c>
      <c r="O73" s="30">
        <f t="shared" si="7"/>
        <v>0.010223212230934928</v>
      </c>
      <c r="Q73" s="11">
        <f t="shared" si="8"/>
        <v>0</v>
      </c>
    </row>
    <row r="74" spans="1:17" ht="12.75">
      <c r="A74" s="12">
        <v>422100</v>
      </c>
      <c r="B74" s="28" t="s">
        <v>55</v>
      </c>
      <c r="C74" s="31">
        <f t="shared" si="5"/>
        <v>548400.72</v>
      </c>
      <c r="D74" s="9">
        <f aca="true" t="shared" si="22" ref="D74:L74">SUM(D71:D73)</f>
        <v>0</v>
      </c>
      <c r="E74" s="243">
        <f t="shared" si="22"/>
        <v>0</v>
      </c>
      <c r="F74" s="243">
        <f t="shared" si="22"/>
        <v>0</v>
      </c>
      <c r="G74" s="243">
        <v>495285.72</v>
      </c>
      <c r="H74" s="243">
        <v>53115</v>
      </c>
      <c r="I74" s="243">
        <f t="shared" si="22"/>
        <v>0</v>
      </c>
      <c r="J74" s="243"/>
      <c r="K74" s="243">
        <f t="shared" si="22"/>
        <v>0</v>
      </c>
      <c r="L74" s="244">
        <f t="shared" si="22"/>
        <v>0</v>
      </c>
      <c r="M74" s="14"/>
      <c r="N74" s="3"/>
      <c r="O74" s="30">
        <f t="shared" si="7"/>
        <v>0.09676246027196274</v>
      </c>
      <c r="Q74" s="11">
        <f t="shared" si="8"/>
        <v>0</v>
      </c>
    </row>
    <row r="75" spans="1:17" ht="13.5" hidden="1" thickBot="1">
      <c r="A75" s="36"/>
      <c r="B75" s="37"/>
      <c r="C75" s="31">
        <f t="shared" si="5"/>
        <v>0</v>
      </c>
      <c r="D75" s="36"/>
      <c r="E75" s="256"/>
      <c r="F75" s="257"/>
      <c r="G75" s="258"/>
      <c r="H75" s="258"/>
      <c r="I75" s="263"/>
      <c r="J75" s="260"/>
      <c r="K75" s="264"/>
      <c r="L75" s="261"/>
      <c r="M75" s="14"/>
      <c r="N75" s="3"/>
      <c r="O75" s="30">
        <f t="shared" si="7"/>
        <v>0</v>
      </c>
      <c r="Q75" s="11">
        <f t="shared" si="8"/>
        <v>0</v>
      </c>
    </row>
    <row r="76" spans="1:17" ht="12.75" hidden="1">
      <c r="A76" s="20">
        <v>422311</v>
      </c>
      <c r="B76" s="62" t="s">
        <v>181</v>
      </c>
      <c r="C76" s="31">
        <f t="shared" si="5"/>
        <v>89006</v>
      </c>
      <c r="D76" s="15">
        <v>89006</v>
      </c>
      <c r="E76" s="245"/>
      <c r="F76" s="245"/>
      <c r="G76" s="245"/>
      <c r="H76" s="245"/>
      <c r="I76" s="224"/>
      <c r="J76" s="224"/>
      <c r="K76" s="224"/>
      <c r="L76" s="224"/>
      <c r="M76" s="14"/>
      <c r="N76" s="3"/>
      <c r="O76" s="30">
        <f t="shared" si="7"/>
        <v>0.015704646665975045</v>
      </c>
      <c r="Q76" s="11">
        <f t="shared" si="8"/>
        <v>0</v>
      </c>
    </row>
    <row r="77" spans="1:17" ht="12.75" hidden="1">
      <c r="A77" s="20">
        <v>422331</v>
      </c>
      <c r="B77" s="62" t="s">
        <v>182</v>
      </c>
      <c r="C77" s="31">
        <f t="shared" si="5"/>
        <v>135850</v>
      </c>
      <c r="D77" s="15"/>
      <c r="E77" s="245"/>
      <c r="F77" s="245"/>
      <c r="G77" s="245">
        <v>135850</v>
      </c>
      <c r="H77" s="245"/>
      <c r="I77" s="224"/>
      <c r="J77" s="224"/>
      <c r="K77" s="224"/>
      <c r="L77" s="224"/>
      <c r="M77" s="14"/>
      <c r="N77" s="3"/>
      <c r="O77" s="30">
        <f t="shared" si="7"/>
        <v>0.02397002729672955</v>
      </c>
      <c r="Q77" s="11">
        <f t="shared" si="8"/>
        <v>0</v>
      </c>
    </row>
    <row r="78" spans="1:17" ht="12.75">
      <c r="A78" s="12">
        <v>422300</v>
      </c>
      <c r="B78" s="28" t="s">
        <v>183</v>
      </c>
      <c r="C78" s="31">
        <f t="shared" si="5"/>
        <v>385473</v>
      </c>
      <c r="D78" s="9">
        <v>249623</v>
      </c>
      <c r="E78" s="243">
        <f aca="true" t="shared" si="23" ref="E78:L78">SUM(E76:E77)</f>
        <v>0</v>
      </c>
      <c r="F78" s="243">
        <f t="shared" si="23"/>
        <v>0</v>
      </c>
      <c r="G78" s="243">
        <v>135850</v>
      </c>
      <c r="H78" s="243">
        <f t="shared" si="23"/>
        <v>0</v>
      </c>
      <c r="I78" s="243">
        <f t="shared" si="23"/>
        <v>0</v>
      </c>
      <c r="J78" s="243"/>
      <c r="K78" s="243">
        <f t="shared" si="23"/>
        <v>0</v>
      </c>
      <c r="L78" s="244">
        <f t="shared" si="23"/>
        <v>0</v>
      </c>
      <c r="M78" s="14"/>
      <c r="N78" s="3"/>
      <c r="O78" s="30">
        <f t="shared" si="7"/>
        <v>0.06801470984285778</v>
      </c>
      <c r="Q78" s="11">
        <f t="shared" si="8"/>
        <v>0</v>
      </c>
    </row>
    <row r="79" spans="1:17" ht="12.75">
      <c r="A79" s="54">
        <v>423000</v>
      </c>
      <c r="B79" s="55" t="s">
        <v>130</v>
      </c>
      <c r="C79" s="31">
        <f t="shared" si="5"/>
        <v>17228934.36</v>
      </c>
      <c r="D79" s="9">
        <f aca="true" t="shared" si="24" ref="D79:M79">D82+D88+D93+D97+D99+D101+D103</f>
        <v>2614476.44</v>
      </c>
      <c r="E79" s="243">
        <f t="shared" si="24"/>
        <v>1182290.16</v>
      </c>
      <c r="F79" s="243">
        <f t="shared" si="24"/>
        <v>0</v>
      </c>
      <c r="G79" s="243">
        <f t="shared" si="24"/>
        <v>13186917.76</v>
      </c>
      <c r="H79" s="243">
        <f t="shared" si="24"/>
        <v>245250</v>
      </c>
      <c r="I79" s="243">
        <f t="shared" si="24"/>
        <v>0</v>
      </c>
      <c r="J79" s="243">
        <f t="shared" si="24"/>
        <v>0</v>
      </c>
      <c r="K79" s="243">
        <f t="shared" si="24"/>
        <v>0</v>
      </c>
      <c r="L79" s="244">
        <f t="shared" si="24"/>
        <v>0</v>
      </c>
      <c r="M79" s="10">
        <f t="shared" si="24"/>
        <v>18131000</v>
      </c>
      <c r="N79" s="3">
        <f>C79*100/M79</f>
        <v>95.02473310903977</v>
      </c>
      <c r="O79" s="30">
        <f t="shared" si="7"/>
        <v>3.039956031672886</v>
      </c>
      <c r="Q79" s="11">
        <f t="shared" si="8"/>
        <v>0</v>
      </c>
    </row>
    <row r="80" spans="1:17" ht="12.75" hidden="1">
      <c r="A80" s="26">
        <v>423212</v>
      </c>
      <c r="B80" s="48" t="s">
        <v>184</v>
      </c>
      <c r="C80" s="31">
        <f t="shared" si="5"/>
        <v>253400</v>
      </c>
      <c r="D80" s="15">
        <v>253400</v>
      </c>
      <c r="E80" s="245"/>
      <c r="F80" s="245"/>
      <c r="G80" s="245"/>
      <c r="H80" s="245"/>
      <c r="I80" s="245"/>
      <c r="J80" s="245"/>
      <c r="K80" s="245"/>
      <c r="L80" s="224"/>
      <c r="M80" s="14"/>
      <c r="N80" s="3" t="e">
        <f>C80*100/M80</f>
        <v>#DIV/0!</v>
      </c>
      <c r="O80" s="30">
        <f t="shared" si="7"/>
        <v>0.04471111458955662</v>
      </c>
      <c r="Q80" s="11">
        <f t="shared" si="8"/>
        <v>0</v>
      </c>
    </row>
    <row r="81" spans="1:17" ht="12.75" hidden="1">
      <c r="A81" s="26">
        <v>423291</v>
      </c>
      <c r="B81" s="48" t="s">
        <v>17</v>
      </c>
      <c r="C81" s="31">
        <f t="shared" si="5"/>
        <v>0</v>
      </c>
      <c r="D81" s="15"/>
      <c r="E81" s="245"/>
      <c r="F81" s="245"/>
      <c r="G81" s="245"/>
      <c r="H81" s="245"/>
      <c r="I81" s="245"/>
      <c r="J81" s="245"/>
      <c r="K81" s="245"/>
      <c r="L81" s="224"/>
      <c r="M81" s="14"/>
      <c r="N81" s="3" t="e">
        <f>C81*100/M81</f>
        <v>#DIV/0!</v>
      </c>
      <c r="O81" s="30">
        <f t="shared" si="7"/>
        <v>0</v>
      </c>
      <c r="Q81" s="11">
        <f t="shared" si="8"/>
        <v>0</v>
      </c>
    </row>
    <row r="82" spans="1:17" ht="12.75">
      <c r="A82" s="12">
        <v>423200</v>
      </c>
      <c r="B82" s="28" t="s">
        <v>56</v>
      </c>
      <c r="C82" s="31">
        <f t="shared" si="5"/>
        <v>530240</v>
      </c>
      <c r="D82" s="9">
        <v>516800</v>
      </c>
      <c r="E82" s="243">
        <f aca="true" t="shared" si="25" ref="E82:L82">SUM(E80:E81)</f>
        <v>0</v>
      </c>
      <c r="F82" s="243">
        <f t="shared" si="25"/>
        <v>0</v>
      </c>
      <c r="G82" s="243">
        <v>13440</v>
      </c>
      <c r="H82" s="243">
        <f t="shared" si="25"/>
        <v>0</v>
      </c>
      <c r="I82" s="243">
        <f t="shared" si="25"/>
        <v>0</v>
      </c>
      <c r="J82" s="243"/>
      <c r="K82" s="243">
        <f t="shared" si="25"/>
        <v>0</v>
      </c>
      <c r="L82" s="244">
        <f t="shared" si="25"/>
        <v>0</v>
      </c>
      <c r="M82" s="14">
        <v>615000</v>
      </c>
      <c r="N82" s="3"/>
      <c r="O82" s="30">
        <f t="shared" si="7"/>
        <v>0.09355809550105171</v>
      </c>
      <c r="Q82" s="11">
        <f t="shared" si="8"/>
        <v>0</v>
      </c>
    </row>
    <row r="83" spans="1:17" ht="12.75" hidden="1">
      <c r="A83" s="26">
        <v>423311</v>
      </c>
      <c r="B83" s="48" t="s">
        <v>18</v>
      </c>
      <c r="C83" s="31">
        <f t="shared" si="5"/>
        <v>432360</v>
      </c>
      <c r="D83" s="15">
        <v>408000</v>
      </c>
      <c r="E83" s="245"/>
      <c r="F83" s="245"/>
      <c r="G83" s="245">
        <v>24360</v>
      </c>
      <c r="H83" s="245"/>
      <c r="I83" s="224"/>
      <c r="J83" s="224"/>
      <c r="K83" s="224"/>
      <c r="L83" s="224"/>
      <c r="M83" s="14"/>
      <c r="N83" s="3"/>
      <c r="O83" s="30">
        <f t="shared" si="7"/>
        <v>0.0762876776003974</v>
      </c>
      <c r="Q83" s="11">
        <f t="shared" si="8"/>
        <v>0</v>
      </c>
    </row>
    <row r="84" spans="1:17" ht="12.75" hidden="1">
      <c r="A84" s="26">
        <v>423321</v>
      </c>
      <c r="B84" s="48" t="s">
        <v>100</v>
      </c>
      <c r="C84" s="31">
        <f t="shared" si="5"/>
        <v>47200</v>
      </c>
      <c r="D84" s="15"/>
      <c r="E84" s="245"/>
      <c r="F84" s="245"/>
      <c r="G84" s="245">
        <v>47200</v>
      </c>
      <c r="H84" s="245"/>
      <c r="I84" s="224"/>
      <c r="J84" s="224"/>
      <c r="K84" s="224"/>
      <c r="L84" s="224"/>
      <c r="M84" s="14"/>
      <c r="N84" s="3"/>
      <c r="O84" s="30">
        <f t="shared" si="7"/>
        <v>0.008328194982742987</v>
      </c>
      <c r="Q84" s="11">
        <f t="shared" si="8"/>
        <v>0</v>
      </c>
    </row>
    <row r="85" spans="1:17" ht="12.75" hidden="1">
      <c r="A85" s="26">
        <v>423322</v>
      </c>
      <c r="B85" s="48" t="s">
        <v>185</v>
      </c>
      <c r="C85" s="31">
        <f t="shared" si="5"/>
        <v>0</v>
      </c>
      <c r="D85" s="15"/>
      <c r="E85" s="245"/>
      <c r="F85" s="245"/>
      <c r="G85" s="245"/>
      <c r="H85" s="245"/>
      <c r="I85" s="224"/>
      <c r="J85" s="224"/>
      <c r="K85" s="224"/>
      <c r="L85" s="224"/>
      <c r="M85" s="14"/>
      <c r="N85" s="3"/>
      <c r="O85" s="30">
        <f t="shared" si="7"/>
        <v>0</v>
      </c>
      <c r="Q85" s="11">
        <f t="shared" si="8"/>
        <v>0</v>
      </c>
    </row>
    <row r="86" spans="1:17" ht="12.75" hidden="1">
      <c r="A86" s="26">
        <v>423391</v>
      </c>
      <c r="B86" s="48" t="s">
        <v>80</v>
      </c>
      <c r="C86" s="31">
        <f t="shared" si="5"/>
        <v>137356.97</v>
      </c>
      <c r="D86" s="15"/>
      <c r="E86" s="245"/>
      <c r="F86" s="245"/>
      <c r="G86" s="245">
        <v>137356.97</v>
      </c>
      <c r="H86" s="245"/>
      <c r="I86" s="224"/>
      <c r="J86" s="224"/>
      <c r="K86" s="224"/>
      <c r="L86" s="224"/>
      <c r="M86" s="14"/>
      <c r="N86" s="3"/>
      <c r="O86" s="30">
        <f t="shared" si="7"/>
        <v>0.024235924330482602</v>
      </c>
      <c r="Q86" s="11">
        <f t="shared" si="8"/>
        <v>0</v>
      </c>
    </row>
    <row r="87" spans="1:17" ht="12.75" hidden="1">
      <c r="A87" s="26">
        <v>423399</v>
      </c>
      <c r="B87" s="48" t="s">
        <v>186</v>
      </c>
      <c r="C87" s="31">
        <f aca="true" t="shared" si="26" ref="C87:C150">D87+E87+F87+G87+H87+I87+J87+K87+L87</f>
        <v>0</v>
      </c>
      <c r="D87" s="15"/>
      <c r="E87" s="245"/>
      <c r="F87" s="245"/>
      <c r="G87" s="245"/>
      <c r="H87" s="245"/>
      <c r="I87" s="224"/>
      <c r="J87" s="224"/>
      <c r="K87" s="224"/>
      <c r="L87" s="224"/>
      <c r="M87" s="14"/>
      <c r="N87" s="3"/>
      <c r="O87" s="30">
        <f aca="true" t="shared" si="27" ref="O87:O150">C87*100/566749458.89</f>
        <v>0</v>
      </c>
      <c r="Q87" s="11">
        <f aca="true" t="shared" si="28" ref="Q87:Q150">C87-D87-E87-F87-G87-H87-I87-J87-K87-L87</f>
        <v>0</v>
      </c>
    </row>
    <row r="88" spans="1:17" ht="12.75">
      <c r="A88" s="12">
        <v>423300</v>
      </c>
      <c r="B88" s="28" t="s">
        <v>57</v>
      </c>
      <c r="C88" s="31">
        <f t="shared" si="26"/>
        <v>1052737.94</v>
      </c>
      <c r="D88" s="9">
        <v>672000</v>
      </c>
      <c r="E88" s="243">
        <f aca="true" t="shared" si="29" ref="E88:L88">SUM(E83:E87)</f>
        <v>0</v>
      </c>
      <c r="F88" s="243">
        <f t="shared" si="29"/>
        <v>0</v>
      </c>
      <c r="G88" s="243">
        <v>380737.94</v>
      </c>
      <c r="H88" s="243">
        <f t="shared" si="29"/>
        <v>0</v>
      </c>
      <c r="I88" s="243">
        <f t="shared" si="29"/>
        <v>0</v>
      </c>
      <c r="J88" s="243"/>
      <c r="K88" s="243">
        <f t="shared" si="29"/>
        <v>0</v>
      </c>
      <c r="L88" s="244">
        <f t="shared" si="29"/>
        <v>0</v>
      </c>
      <c r="M88" s="14">
        <v>1513000</v>
      </c>
      <c r="N88" s="3"/>
      <c r="O88" s="30">
        <f t="shared" si="27"/>
        <v>0.1857501447044743</v>
      </c>
      <c r="Q88" s="11">
        <f t="shared" si="28"/>
        <v>-5.820766091346741E-11</v>
      </c>
    </row>
    <row r="89" spans="1:17" ht="12.75" hidden="1">
      <c r="A89" s="20">
        <v>423419</v>
      </c>
      <c r="B89" s="62" t="s">
        <v>187</v>
      </c>
      <c r="C89" s="31">
        <f t="shared" si="26"/>
        <v>2880</v>
      </c>
      <c r="D89" s="63"/>
      <c r="E89" s="241"/>
      <c r="F89" s="241"/>
      <c r="G89" s="241">
        <v>2880</v>
      </c>
      <c r="H89" s="241"/>
      <c r="I89" s="270"/>
      <c r="J89" s="270"/>
      <c r="K89" s="270"/>
      <c r="L89" s="270"/>
      <c r="M89" s="14"/>
      <c r="N89" s="3"/>
      <c r="O89" s="30">
        <f t="shared" si="27"/>
        <v>0.0005081610497944872</v>
      </c>
      <c r="Q89" s="11">
        <f t="shared" si="28"/>
        <v>0</v>
      </c>
    </row>
    <row r="90" spans="1:17" ht="12.75" hidden="1">
      <c r="A90" s="26">
        <v>423421</v>
      </c>
      <c r="B90" s="48" t="s">
        <v>19</v>
      </c>
      <c r="C90" s="31">
        <f t="shared" si="26"/>
        <v>42325.79</v>
      </c>
      <c r="D90" s="15"/>
      <c r="E90" s="245"/>
      <c r="F90" s="245"/>
      <c r="G90" s="245">
        <v>42325.79</v>
      </c>
      <c r="H90" s="245"/>
      <c r="I90" s="224"/>
      <c r="J90" s="224"/>
      <c r="K90" s="224"/>
      <c r="L90" s="224"/>
      <c r="M90" s="14"/>
      <c r="N90" s="3"/>
      <c r="O90" s="30">
        <f t="shared" si="27"/>
        <v>0.007468165930479518</v>
      </c>
      <c r="Q90" s="11">
        <f t="shared" si="28"/>
        <v>0</v>
      </c>
    </row>
    <row r="91" spans="1:17" ht="12.75" hidden="1">
      <c r="A91" s="66">
        <v>423432</v>
      </c>
      <c r="B91" s="67" t="s">
        <v>101</v>
      </c>
      <c r="C91" s="31">
        <f t="shared" si="26"/>
        <v>256576</v>
      </c>
      <c r="D91" s="69">
        <v>256576</v>
      </c>
      <c r="E91" s="271"/>
      <c r="F91" s="271"/>
      <c r="G91" s="271"/>
      <c r="H91" s="271"/>
      <c r="I91" s="272"/>
      <c r="J91" s="272"/>
      <c r="K91" s="224"/>
      <c r="L91" s="224"/>
      <c r="M91" s="14"/>
      <c r="N91" s="3"/>
      <c r="O91" s="30">
        <f t="shared" si="27"/>
        <v>0.04527150330280221</v>
      </c>
      <c r="Q91" s="11">
        <f t="shared" si="28"/>
        <v>0</v>
      </c>
    </row>
    <row r="92" spans="1:17" ht="12.75" hidden="1">
      <c r="A92" s="66">
        <v>423441</v>
      </c>
      <c r="B92" s="67" t="s">
        <v>188</v>
      </c>
      <c r="C92" s="31">
        <f t="shared" si="26"/>
        <v>0</v>
      </c>
      <c r="D92" s="69"/>
      <c r="E92" s="271"/>
      <c r="F92" s="271"/>
      <c r="G92" s="271"/>
      <c r="H92" s="271"/>
      <c r="I92" s="272"/>
      <c r="J92" s="272"/>
      <c r="K92" s="224"/>
      <c r="L92" s="224"/>
      <c r="M92" s="14"/>
      <c r="N92" s="3"/>
      <c r="O92" s="30">
        <f t="shared" si="27"/>
        <v>0</v>
      </c>
      <c r="Q92" s="11">
        <f t="shared" si="28"/>
        <v>0</v>
      </c>
    </row>
    <row r="93" spans="1:17" ht="12.75">
      <c r="A93" s="12">
        <v>423400</v>
      </c>
      <c r="B93" s="28" t="s">
        <v>58</v>
      </c>
      <c r="C93" s="31">
        <f t="shared" si="26"/>
        <v>543432.57</v>
      </c>
      <c r="D93" s="9">
        <v>484576</v>
      </c>
      <c r="E93" s="243">
        <f aca="true" t="shared" si="30" ref="E93:L93">SUM(E89:E92)</f>
        <v>0</v>
      </c>
      <c r="F93" s="243">
        <f t="shared" si="30"/>
        <v>0</v>
      </c>
      <c r="G93" s="243">
        <v>58856.57</v>
      </c>
      <c r="H93" s="243">
        <f t="shared" si="30"/>
        <v>0</v>
      </c>
      <c r="I93" s="243">
        <f t="shared" si="30"/>
        <v>0</v>
      </c>
      <c r="J93" s="243"/>
      <c r="K93" s="243">
        <f t="shared" si="30"/>
        <v>0</v>
      </c>
      <c r="L93" s="244">
        <f t="shared" si="30"/>
        <v>0</v>
      </c>
      <c r="M93" s="14">
        <v>660000</v>
      </c>
      <c r="N93" s="3"/>
      <c r="O93" s="30">
        <f t="shared" si="27"/>
        <v>0.09588585599434589</v>
      </c>
      <c r="Q93" s="11">
        <f t="shared" si="28"/>
        <v>-5.093170329928398E-11</v>
      </c>
    </row>
    <row r="94" spans="1:17" ht="12.75" hidden="1">
      <c r="A94" s="20">
        <v>423521</v>
      </c>
      <c r="B94" s="62" t="s">
        <v>114</v>
      </c>
      <c r="C94" s="31">
        <f t="shared" si="26"/>
        <v>210000</v>
      </c>
      <c r="D94" s="15"/>
      <c r="E94" s="245"/>
      <c r="F94" s="245"/>
      <c r="G94" s="245">
        <v>210000</v>
      </c>
      <c r="H94" s="245"/>
      <c r="I94" s="224"/>
      <c r="J94" s="224"/>
      <c r="K94" s="224"/>
      <c r="L94" s="224"/>
      <c r="M94" s="14"/>
      <c r="N94" s="3"/>
      <c r="O94" s="30">
        <f t="shared" si="27"/>
        <v>0.03705340988084803</v>
      </c>
      <c r="Q94" s="11">
        <f t="shared" si="28"/>
        <v>0</v>
      </c>
    </row>
    <row r="95" spans="1:17" ht="12.75" hidden="1">
      <c r="A95" s="26">
        <v>423591</v>
      </c>
      <c r="B95" s="48" t="s">
        <v>189</v>
      </c>
      <c r="C95" s="31">
        <f t="shared" si="26"/>
        <v>284810</v>
      </c>
      <c r="D95" s="15"/>
      <c r="E95" s="245"/>
      <c r="F95" s="245"/>
      <c r="G95" s="245">
        <v>284810</v>
      </c>
      <c r="H95" s="245"/>
      <c r="I95" s="224"/>
      <c r="J95" s="224"/>
      <c r="K95" s="224"/>
      <c r="L95" s="224"/>
      <c r="M95" s="14"/>
      <c r="N95" s="3"/>
      <c r="O95" s="30">
        <f t="shared" si="27"/>
        <v>0.05025324603887775</v>
      </c>
      <c r="Q95" s="11">
        <f t="shared" si="28"/>
        <v>0</v>
      </c>
    </row>
    <row r="96" spans="1:17" ht="12.75" hidden="1">
      <c r="A96" s="26">
        <v>423599</v>
      </c>
      <c r="B96" s="48" t="s">
        <v>113</v>
      </c>
      <c r="C96" s="31">
        <f t="shared" si="26"/>
        <v>4204850.43</v>
      </c>
      <c r="D96" s="15"/>
      <c r="E96" s="245"/>
      <c r="F96" s="245"/>
      <c r="G96" s="245">
        <v>4204850.43</v>
      </c>
      <c r="H96" s="245"/>
      <c r="I96" s="224"/>
      <c r="J96" s="224"/>
      <c r="K96" s="224"/>
      <c r="L96" s="224"/>
      <c r="M96" s="14"/>
      <c r="N96" s="3"/>
      <c r="O96" s="30">
        <f t="shared" si="27"/>
        <v>0.7419240308116671</v>
      </c>
      <c r="Q96" s="11">
        <f t="shared" si="28"/>
        <v>0</v>
      </c>
    </row>
    <row r="97" spans="1:17" ht="12.75">
      <c r="A97" s="12">
        <v>423500</v>
      </c>
      <c r="B97" s="28" t="s">
        <v>59</v>
      </c>
      <c r="C97" s="31">
        <f t="shared" si="26"/>
        <v>11807661.21</v>
      </c>
      <c r="D97" s="9">
        <f aca="true" t="shared" si="31" ref="D97:L97">SUM(D94:D96)</f>
        <v>0</v>
      </c>
      <c r="E97" s="243">
        <f t="shared" si="31"/>
        <v>0</v>
      </c>
      <c r="F97" s="243">
        <f t="shared" si="31"/>
        <v>0</v>
      </c>
      <c r="G97" s="243">
        <v>11694411.21</v>
      </c>
      <c r="H97" s="243">
        <v>113250</v>
      </c>
      <c r="I97" s="243">
        <f t="shared" si="31"/>
        <v>0</v>
      </c>
      <c r="J97" s="243"/>
      <c r="K97" s="243">
        <f t="shared" si="31"/>
        <v>0</v>
      </c>
      <c r="L97" s="244">
        <f t="shared" si="31"/>
        <v>0</v>
      </c>
      <c r="M97" s="14">
        <v>11810000</v>
      </c>
      <c r="N97" s="3"/>
      <c r="O97" s="30">
        <f t="shared" si="27"/>
        <v>2.0834005264205713</v>
      </c>
      <c r="Q97" s="11">
        <f t="shared" si="28"/>
        <v>0</v>
      </c>
    </row>
    <row r="98" spans="1:17" ht="12.75" hidden="1">
      <c r="A98" s="26">
        <v>423611</v>
      </c>
      <c r="B98" s="48" t="s">
        <v>190</v>
      </c>
      <c r="C98" s="31">
        <f t="shared" si="26"/>
        <v>622179.6</v>
      </c>
      <c r="D98" s="15">
        <v>127408.2</v>
      </c>
      <c r="E98" s="245">
        <v>494771.4</v>
      </c>
      <c r="F98" s="245"/>
      <c r="G98" s="245"/>
      <c r="H98" s="245"/>
      <c r="I98" s="224"/>
      <c r="J98" s="224"/>
      <c r="K98" s="224"/>
      <c r="L98" s="224"/>
      <c r="M98" s="14"/>
      <c r="N98" s="3"/>
      <c r="O98" s="30">
        <f t="shared" si="27"/>
        <v>0.10978036065858131</v>
      </c>
      <c r="Q98" s="11">
        <f t="shared" si="28"/>
        <v>-5.820766091346741E-11</v>
      </c>
    </row>
    <row r="99" spans="1:17" ht="12.75">
      <c r="A99" s="12">
        <v>423600</v>
      </c>
      <c r="B99" s="28" t="s">
        <v>60</v>
      </c>
      <c r="C99" s="31">
        <f t="shared" si="26"/>
        <v>1525461</v>
      </c>
      <c r="D99" s="9">
        <v>343170.84</v>
      </c>
      <c r="E99" s="243">
        <v>1182290.16</v>
      </c>
      <c r="F99" s="243">
        <f>SUM(F98:F98)</f>
        <v>0</v>
      </c>
      <c r="G99" s="243">
        <f>SUM(G98:G98)</f>
        <v>0</v>
      </c>
      <c r="H99" s="243">
        <f>SUM(H98:H98)</f>
        <v>0</v>
      </c>
      <c r="I99" s="243">
        <f>SUM(I98:I98)</f>
        <v>0</v>
      </c>
      <c r="J99" s="243"/>
      <c r="K99" s="243">
        <f>SUM(K98:K98)</f>
        <v>0</v>
      </c>
      <c r="L99" s="244">
        <f>SUM(L98:L98)</f>
        <v>0</v>
      </c>
      <c r="M99" s="14">
        <v>1530000</v>
      </c>
      <c r="N99" s="3"/>
      <c r="O99" s="30">
        <f t="shared" si="27"/>
        <v>0.2691596747154682</v>
      </c>
      <c r="Q99" s="11">
        <f t="shared" si="28"/>
        <v>0</v>
      </c>
    </row>
    <row r="100" spans="1:17" ht="12.75" hidden="1">
      <c r="A100" s="26">
        <v>423711</v>
      </c>
      <c r="B100" s="48" t="s">
        <v>20</v>
      </c>
      <c r="C100" s="31">
        <f t="shared" si="26"/>
        <v>226328.89</v>
      </c>
      <c r="D100" s="15"/>
      <c r="E100" s="245"/>
      <c r="F100" s="245"/>
      <c r="G100" s="245">
        <v>226328.89</v>
      </c>
      <c r="H100" s="245"/>
      <c r="I100" s="224"/>
      <c r="J100" s="224"/>
      <c r="K100" s="224"/>
      <c r="L100" s="224"/>
      <c r="M100" s="14"/>
      <c r="N100" s="3"/>
      <c r="O100" s="30">
        <f t="shared" si="27"/>
        <v>0.039934557757368414</v>
      </c>
      <c r="Q100" s="11">
        <f t="shared" si="28"/>
        <v>0</v>
      </c>
    </row>
    <row r="101" spans="1:17" ht="12.75">
      <c r="A101" s="12">
        <v>423700</v>
      </c>
      <c r="B101" s="28" t="s">
        <v>20</v>
      </c>
      <c r="C101" s="31">
        <f t="shared" si="26"/>
        <v>968912.84</v>
      </c>
      <c r="D101" s="9">
        <f aca="true" t="shared" si="32" ref="D101:L101">SUM(D100)</f>
        <v>0</v>
      </c>
      <c r="E101" s="243">
        <f t="shared" si="32"/>
        <v>0</v>
      </c>
      <c r="F101" s="243">
        <f t="shared" si="32"/>
        <v>0</v>
      </c>
      <c r="G101" s="243">
        <v>968912.84</v>
      </c>
      <c r="H101" s="243">
        <f t="shared" si="32"/>
        <v>0</v>
      </c>
      <c r="I101" s="243">
        <f t="shared" si="32"/>
        <v>0</v>
      </c>
      <c r="J101" s="243"/>
      <c r="K101" s="243">
        <f t="shared" si="32"/>
        <v>0</v>
      </c>
      <c r="L101" s="244">
        <f t="shared" si="32"/>
        <v>0</v>
      </c>
      <c r="M101" s="14">
        <v>1200000</v>
      </c>
      <c r="N101" s="3"/>
      <c r="O101" s="30">
        <f t="shared" si="27"/>
        <v>0.17095964094922156</v>
      </c>
      <c r="Q101" s="11">
        <f t="shared" si="28"/>
        <v>0</v>
      </c>
    </row>
    <row r="102" spans="1:17" ht="12.75" hidden="1">
      <c r="A102" s="26">
        <v>423911</v>
      </c>
      <c r="B102" s="48" t="s">
        <v>21</v>
      </c>
      <c r="C102" s="31">
        <f t="shared" si="26"/>
        <v>85620</v>
      </c>
      <c r="D102" s="15"/>
      <c r="E102" s="245"/>
      <c r="F102" s="245"/>
      <c r="G102" s="245">
        <v>13620</v>
      </c>
      <c r="H102" s="245">
        <v>72000</v>
      </c>
      <c r="I102" s="224"/>
      <c r="J102" s="224"/>
      <c r="K102" s="224"/>
      <c r="L102" s="224"/>
      <c r="M102" s="14"/>
      <c r="N102" s="3"/>
      <c r="O102" s="30">
        <f t="shared" si="27"/>
        <v>0.01510720454284861</v>
      </c>
      <c r="Q102" s="11">
        <f t="shared" si="28"/>
        <v>0</v>
      </c>
    </row>
    <row r="103" spans="1:17" ht="12.75">
      <c r="A103" s="12">
        <v>423900</v>
      </c>
      <c r="B103" s="28" t="s">
        <v>21</v>
      </c>
      <c r="C103" s="31">
        <f t="shared" si="26"/>
        <v>800488.7999999999</v>
      </c>
      <c r="D103" s="9">
        <v>597929.6</v>
      </c>
      <c r="E103" s="243">
        <f aca="true" t="shared" si="33" ref="E103:L103">SUM(E102)</f>
        <v>0</v>
      </c>
      <c r="F103" s="243">
        <f t="shared" si="33"/>
        <v>0</v>
      </c>
      <c r="G103" s="243">
        <v>70559.2</v>
      </c>
      <c r="H103" s="243">
        <v>132000</v>
      </c>
      <c r="I103" s="243">
        <f t="shared" si="33"/>
        <v>0</v>
      </c>
      <c r="J103" s="243"/>
      <c r="K103" s="243">
        <f t="shared" si="33"/>
        <v>0</v>
      </c>
      <c r="L103" s="244">
        <f t="shared" si="33"/>
        <v>0</v>
      </c>
      <c r="M103" s="14">
        <v>803000</v>
      </c>
      <c r="N103" s="3"/>
      <c r="O103" s="30">
        <f t="shared" si="27"/>
        <v>0.14124209338775326</v>
      </c>
      <c r="Q103" s="11">
        <f t="shared" si="28"/>
        <v>-5.820766091346741E-11</v>
      </c>
    </row>
    <row r="104" spans="1:17" ht="12.75">
      <c r="A104" s="54">
        <v>424000</v>
      </c>
      <c r="B104" s="55" t="s">
        <v>131</v>
      </c>
      <c r="C104" s="31">
        <f t="shared" si="26"/>
        <v>2355761.46</v>
      </c>
      <c r="D104" s="9">
        <f aca="true" t="shared" si="34" ref="D104:M104">D108+D110+D113</f>
        <v>349600</v>
      </c>
      <c r="E104" s="243">
        <f t="shared" si="34"/>
        <v>0</v>
      </c>
      <c r="F104" s="243">
        <f t="shared" si="34"/>
        <v>0</v>
      </c>
      <c r="G104" s="243">
        <f t="shared" si="34"/>
        <v>2006161.46</v>
      </c>
      <c r="H104" s="243">
        <f t="shared" si="34"/>
        <v>0</v>
      </c>
      <c r="I104" s="243">
        <f t="shared" si="34"/>
        <v>0</v>
      </c>
      <c r="J104" s="243">
        <f t="shared" si="34"/>
        <v>0</v>
      </c>
      <c r="K104" s="243">
        <f t="shared" si="34"/>
        <v>0</v>
      </c>
      <c r="L104" s="244">
        <f t="shared" si="34"/>
        <v>0</v>
      </c>
      <c r="M104" s="10">
        <f t="shared" si="34"/>
        <v>2370000</v>
      </c>
      <c r="N104" s="3">
        <f aca="true" t="shared" si="35" ref="N104:N150">C104*100/M104</f>
        <v>99.399217721519</v>
      </c>
      <c r="O104" s="30">
        <f t="shared" si="27"/>
        <v>0.41566188075659516</v>
      </c>
      <c r="Q104" s="11">
        <f t="shared" si="28"/>
        <v>0</v>
      </c>
    </row>
    <row r="105" spans="1:17" ht="12.75" hidden="1">
      <c r="A105" s="26">
        <v>424311</v>
      </c>
      <c r="B105" s="48" t="s">
        <v>191</v>
      </c>
      <c r="C105" s="31">
        <f t="shared" si="26"/>
        <v>747940.93</v>
      </c>
      <c r="D105" s="9"/>
      <c r="E105" s="243"/>
      <c r="F105" s="243"/>
      <c r="G105" s="245">
        <v>747940.93</v>
      </c>
      <c r="H105" s="245"/>
      <c r="I105" s="244"/>
      <c r="J105" s="244"/>
      <c r="K105" s="244"/>
      <c r="L105" s="224"/>
      <c r="M105" s="14"/>
      <c r="N105" s="3" t="e">
        <f t="shared" si="35"/>
        <v>#DIV/0!</v>
      </c>
      <c r="O105" s="30">
        <f t="shared" si="27"/>
        <v>0.1319702945045365</v>
      </c>
      <c r="Q105" s="11">
        <f t="shared" si="28"/>
        <v>0</v>
      </c>
    </row>
    <row r="106" spans="1:17" ht="12.75" hidden="1">
      <c r="A106" s="26">
        <v>424331</v>
      </c>
      <c r="B106" s="48" t="s">
        <v>76</v>
      </c>
      <c r="C106" s="31">
        <f t="shared" si="26"/>
        <v>69000</v>
      </c>
      <c r="D106" s="15">
        <v>69000</v>
      </c>
      <c r="E106" s="245"/>
      <c r="F106" s="245"/>
      <c r="G106" s="245"/>
      <c r="H106" s="245"/>
      <c r="I106" s="224"/>
      <c r="J106" s="224"/>
      <c r="K106" s="224"/>
      <c r="L106" s="224"/>
      <c r="M106" s="14"/>
      <c r="N106" s="3" t="e">
        <f t="shared" si="35"/>
        <v>#DIV/0!</v>
      </c>
      <c r="O106" s="30">
        <f t="shared" si="27"/>
        <v>0.012174691817992925</v>
      </c>
      <c r="Q106" s="11">
        <f t="shared" si="28"/>
        <v>0</v>
      </c>
    </row>
    <row r="107" spans="1:17" ht="12.75" hidden="1">
      <c r="A107" s="26">
        <v>424351</v>
      </c>
      <c r="B107" s="48" t="s">
        <v>192</v>
      </c>
      <c r="C107" s="31">
        <f t="shared" si="26"/>
        <v>41630</v>
      </c>
      <c r="D107" s="15">
        <v>41630</v>
      </c>
      <c r="E107" s="245"/>
      <c r="F107" s="245"/>
      <c r="G107" s="245"/>
      <c r="H107" s="245"/>
      <c r="I107" s="224"/>
      <c r="J107" s="224"/>
      <c r="K107" s="224"/>
      <c r="L107" s="224"/>
      <c r="M107" s="14"/>
      <c r="N107" s="3" t="e">
        <f t="shared" si="35"/>
        <v>#DIV/0!</v>
      </c>
      <c r="O107" s="30">
        <f t="shared" si="27"/>
        <v>0.007345397396855731</v>
      </c>
      <c r="Q107" s="11">
        <f t="shared" si="28"/>
        <v>0</v>
      </c>
    </row>
    <row r="108" spans="1:17" ht="12.75">
      <c r="A108" s="12">
        <v>424300</v>
      </c>
      <c r="B108" s="28" t="s">
        <v>61</v>
      </c>
      <c r="C108" s="31">
        <f t="shared" si="26"/>
        <v>1986761.46</v>
      </c>
      <c r="D108" s="9">
        <v>349600</v>
      </c>
      <c r="E108" s="243">
        <f aca="true" t="shared" si="36" ref="E108:L108">SUM(E105:E107)</f>
        <v>0</v>
      </c>
      <c r="F108" s="243">
        <f t="shared" si="36"/>
        <v>0</v>
      </c>
      <c r="G108" s="243">
        <v>1637161.46</v>
      </c>
      <c r="H108" s="243">
        <f t="shared" si="36"/>
        <v>0</v>
      </c>
      <c r="I108" s="243">
        <f t="shared" si="36"/>
        <v>0</v>
      </c>
      <c r="J108" s="243"/>
      <c r="K108" s="243">
        <f t="shared" si="36"/>
        <v>0</v>
      </c>
      <c r="L108" s="244">
        <f t="shared" si="36"/>
        <v>0</v>
      </c>
      <c r="M108" s="14">
        <v>2000000</v>
      </c>
      <c r="N108" s="3"/>
      <c r="O108" s="30">
        <f t="shared" si="27"/>
        <v>0.35055374625167646</v>
      </c>
      <c r="Q108" s="11">
        <f t="shared" si="28"/>
        <v>0</v>
      </c>
    </row>
    <row r="109" spans="1:17" ht="12.75" hidden="1">
      <c r="A109" s="26">
        <v>424631</v>
      </c>
      <c r="B109" s="48" t="s">
        <v>193</v>
      </c>
      <c r="C109" s="31">
        <f t="shared" si="26"/>
        <v>0</v>
      </c>
      <c r="D109" s="15"/>
      <c r="E109" s="245"/>
      <c r="F109" s="245"/>
      <c r="G109" s="245"/>
      <c r="H109" s="245"/>
      <c r="I109" s="224"/>
      <c r="J109" s="224"/>
      <c r="K109" s="224"/>
      <c r="L109" s="224"/>
      <c r="M109" s="14"/>
      <c r="N109" s="3"/>
      <c r="O109" s="30">
        <f t="shared" si="27"/>
        <v>0</v>
      </c>
      <c r="Q109" s="11">
        <f t="shared" si="28"/>
        <v>0</v>
      </c>
    </row>
    <row r="110" spans="1:17" ht="12.75" hidden="1">
      <c r="A110" s="12">
        <v>424600</v>
      </c>
      <c r="B110" s="28" t="s">
        <v>194</v>
      </c>
      <c r="C110" s="31">
        <f t="shared" si="26"/>
        <v>0</v>
      </c>
      <c r="D110" s="9">
        <f aca="true" t="shared" si="37" ref="D110:L110">SUM(D109)</f>
        <v>0</v>
      </c>
      <c r="E110" s="243">
        <f t="shared" si="37"/>
        <v>0</v>
      </c>
      <c r="F110" s="243">
        <f t="shared" si="37"/>
        <v>0</v>
      </c>
      <c r="G110" s="243">
        <f t="shared" si="37"/>
        <v>0</v>
      </c>
      <c r="H110" s="243">
        <f t="shared" si="37"/>
        <v>0</v>
      </c>
      <c r="I110" s="243">
        <f t="shared" si="37"/>
        <v>0</v>
      </c>
      <c r="J110" s="243"/>
      <c r="K110" s="243">
        <f t="shared" si="37"/>
        <v>0</v>
      </c>
      <c r="L110" s="244">
        <f t="shared" si="37"/>
        <v>0</v>
      </c>
      <c r="M110" s="14">
        <v>0</v>
      </c>
      <c r="N110" s="3"/>
      <c r="O110" s="30">
        <f t="shared" si="27"/>
        <v>0</v>
      </c>
      <c r="Q110" s="11">
        <f t="shared" si="28"/>
        <v>0</v>
      </c>
    </row>
    <row r="111" spans="1:17" ht="13.5" hidden="1" thickBot="1">
      <c r="A111" s="36"/>
      <c r="B111" s="37"/>
      <c r="C111" s="31">
        <f t="shared" si="26"/>
        <v>0</v>
      </c>
      <c r="D111" s="36"/>
      <c r="E111" s="256"/>
      <c r="F111" s="257"/>
      <c r="G111" s="258"/>
      <c r="H111" s="258"/>
      <c r="I111" s="263"/>
      <c r="J111" s="260"/>
      <c r="K111" s="264"/>
      <c r="L111" s="261"/>
      <c r="M111" s="14"/>
      <c r="N111" s="3"/>
      <c r="O111" s="30">
        <f t="shared" si="27"/>
        <v>0</v>
      </c>
      <c r="Q111" s="11">
        <f t="shared" si="28"/>
        <v>0</v>
      </c>
    </row>
    <row r="112" spans="1:17" ht="12.75" hidden="1">
      <c r="A112" s="26">
        <v>424911</v>
      </c>
      <c r="B112" s="48" t="s">
        <v>195</v>
      </c>
      <c r="C112" s="31">
        <f t="shared" si="26"/>
        <v>14000</v>
      </c>
      <c r="D112" s="15"/>
      <c r="E112" s="245"/>
      <c r="F112" s="245"/>
      <c r="G112" s="245">
        <v>14000</v>
      </c>
      <c r="H112" s="245"/>
      <c r="I112" s="224"/>
      <c r="J112" s="224"/>
      <c r="K112" s="224"/>
      <c r="L112" s="224"/>
      <c r="M112" s="14"/>
      <c r="N112" s="3"/>
      <c r="O112" s="30">
        <f t="shared" si="27"/>
        <v>0.002470227325389869</v>
      </c>
      <c r="Q112" s="11">
        <f t="shared" si="28"/>
        <v>0</v>
      </c>
    </row>
    <row r="113" spans="1:17" ht="12.75">
      <c r="A113" s="12">
        <v>424900</v>
      </c>
      <c r="B113" s="285" t="s">
        <v>286</v>
      </c>
      <c r="C113" s="31">
        <f t="shared" si="26"/>
        <v>369000</v>
      </c>
      <c r="D113" s="9">
        <f aca="true" t="shared" si="38" ref="D113:L113">SUM(D112)</f>
        <v>0</v>
      </c>
      <c r="E113" s="243">
        <f t="shared" si="38"/>
        <v>0</v>
      </c>
      <c r="F113" s="243">
        <f t="shared" si="38"/>
        <v>0</v>
      </c>
      <c r="G113" s="243">
        <v>369000</v>
      </c>
      <c r="H113" s="243">
        <f t="shared" si="38"/>
        <v>0</v>
      </c>
      <c r="I113" s="243">
        <f t="shared" si="38"/>
        <v>0</v>
      </c>
      <c r="J113" s="243"/>
      <c r="K113" s="243">
        <f t="shared" si="38"/>
        <v>0</v>
      </c>
      <c r="L113" s="244">
        <f t="shared" si="38"/>
        <v>0</v>
      </c>
      <c r="M113" s="14">
        <v>370000</v>
      </c>
      <c r="N113" s="3"/>
      <c r="O113" s="30">
        <f t="shared" si="27"/>
        <v>0.06510813450491869</v>
      </c>
      <c r="Q113" s="11">
        <f t="shared" si="28"/>
        <v>0</v>
      </c>
    </row>
    <row r="114" spans="1:17" ht="12.75">
      <c r="A114" s="54">
        <v>425000</v>
      </c>
      <c r="B114" s="55" t="s">
        <v>132</v>
      </c>
      <c r="C114" s="31">
        <f t="shared" si="26"/>
        <v>4681608.78</v>
      </c>
      <c r="D114" s="9">
        <f aca="true" t="shared" si="39" ref="D114:M114">D123+D138</f>
        <v>4081148.39</v>
      </c>
      <c r="E114" s="243">
        <f t="shared" si="39"/>
        <v>80955</v>
      </c>
      <c r="F114" s="243">
        <f t="shared" si="39"/>
        <v>59596</v>
      </c>
      <c r="G114" s="243">
        <f t="shared" si="39"/>
        <v>49750</v>
      </c>
      <c r="H114" s="243">
        <f t="shared" si="39"/>
        <v>410159.39</v>
      </c>
      <c r="I114" s="243">
        <f t="shared" si="39"/>
        <v>0</v>
      </c>
      <c r="J114" s="243">
        <f t="shared" si="39"/>
        <v>0</v>
      </c>
      <c r="K114" s="243">
        <f t="shared" si="39"/>
        <v>0</v>
      </c>
      <c r="L114" s="244">
        <f t="shared" si="39"/>
        <v>0</v>
      </c>
      <c r="M114" s="10">
        <f t="shared" si="39"/>
        <v>5170000</v>
      </c>
      <c r="N114" s="3">
        <f t="shared" si="35"/>
        <v>90.55336131528047</v>
      </c>
      <c r="O114" s="30">
        <f t="shared" si="27"/>
        <v>0.8260455667957948</v>
      </c>
      <c r="Q114" s="11">
        <f t="shared" si="28"/>
        <v>1.1641532182693481E-10</v>
      </c>
    </row>
    <row r="115" spans="1:17" ht="12.75" hidden="1">
      <c r="A115" s="26">
        <v>425111</v>
      </c>
      <c r="B115" s="48" t="s">
        <v>77</v>
      </c>
      <c r="C115" s="31">
        <f t="shared" si="26"/>
        <v>0</v>
      </c>
      <c r="D115" s="15"/>
      <c r="E115" s="245"/>
      <c r="F115" s="245"/>
      <c r="G115" s="245"/>
      <c r="H115" s="245"/>
      <c r="I115" s="224"/>
      <c r="J115" s="224"/>
      <c r="K115" s="224"/>
      <c r="L115" s="224"/>
      <c r="M115" s="14"/>
      <c r="N115" s="3" t="e">
        <f t="shared" si="35"/>
        <v>#DIV/0!</v>
      </c>
      <c r="O115" s="30">
        <f t="shared" si="27"/>
        <v>0</v>
      </c>
      <c r="Q115" s="11">
        <f t="shared" si="28"/>
        <v>0</v>
      </c>
    </row>
    <row r="116" spans="1:17" ht="12.75" hidden="1">
      <c r="A116" s="26">
        <v>425112</v>
      </c>
      <c r="B116" s="48" t="s">
        <v>22</v>
      </c>
      <c r="C116" s="31">
        <f t="shared" si="26"/>
        <v>83495.5</v>
      </c>
      <c r="D116" s="15">
        <v>70285.5</v>
      </c>
      <c r="E116" s="245"/>
      <c r="F116" s="245"/>
      <c r="G116" s="245">
        <v>10680</v>
      </c>
      <c r="H116" s="245">
        <v>2530</v>
      </c>
      <c r="I116" s="224"/>
      <c r="J116" s="224"/>
      <c r="K116" s="224"/>
      <c r="L116" s="224"/>
      <c r="M116" s="14"/>
      <c r="N116" s="3" t="e">
        <f t="shared" si="35"/>
        <v>#DIV/0!</v>
      </c>
      <c r="O116" s="30">
        <f t="shared" si="27"/>
        <v>0.014732347546220699</v>
      </c>
      <c r="Q116" s="11">
        <f t="shared" si="28"/>
        <v>0</v>
      </c>
    </row>
    <row r="117" spans="1:17" ht="12.75" hidden="1">
      <c r="A117" s="26">
        <v>425113</v>
      </c>
      <c r="B117" s="48" t="s">
        <v>78</v>
      </c>
      <c r="C117" s="31">
        <f t="shared" si="26"/>
        <v>71780.7</v>
      </c>
      <c r="D117" s="15">
        <v>71780.7</v>
      </c>
      <c r="E117" s="245"/>
      <c r="F117" s="245"/>
      <c r="G117" s="245"/>
      <c r="H117" s="245"/>
      <c r="I117" s="224"/>
      <c r="J117" s="224"/>
      <c r="K117" s="224"/>
      <c r="L117" s="224"/>
      <c r="M117" s="14"/>
      <c r="N117" s="3" t="e">
        <f t="shared" si="35"/>
        <v>#DIV/0!</v>
      </c>
      <c r="O117" s="30">
        <f t="shared" si="27"/>
        <v>0.01266533189825804</v>
      </c>
      <c r="Q117" s="11">
        <f t="shared" si="28"/>
        <v>0</v>
      </c>
    </row>
    <row r="118" spans="1:17" ht="12.75" hidden="1">
      <c r="A118" s="26">
        <v>425115</v>
      </c>
      <c r="B118" s="48" t="s">
        <v>23</v>
      </c>
      <c r="C118" s="31">
        <f t="shared" si="26"/>
        <v>176217.42</v>
      </c>
      <c r="D118" s="15">
        <v>154377.42</v>
      </c>
      <c r="E118" s="245"/>
      <c r="F118" s="245"/>
      <c r="G118" s="245"/>
      <c r="H118" s="245">
        <v>21840</v>
      </c>
      <c r="I118" s="224"/>
      <c r="J118" s="224"/>
      <c r="K118" s="224"/>
      <c r="L118" s="224"/>
      <c r="M118" s="14"/>
      <c r="N118" s="3" t="e">
        <f t="shared" si="35"/>
        <v>#DIV/0!</v>
      </c>
      <c r="O118" s="30">
        <f t="shared" si="27"/>
        <v>0.031092649006693084</v>
      </c>
      <c r="Q118" s="11">
        <f t="shared" si="28"/>
        <v>0</v>
      </c>
    </row>
    <row r="119" spans="1:17" ht="12.75" hidden="1">
      <c r="A119" s="26">
        <v>425116</v>
      </c>
      <c r="B119" s="48" t="s">
        <v>7</v>
      </c>
      <c r="C119" s="31">
        <f t="shared" si="26"/>
        <v>0</v>
      </c>
      <c r="D119" s="15"/>
      <c r="E119" s="245"/>
      <c r="F119" s="245"/>
      <c r="G119" s="245"/>
      <c r="H119" s="245"/>
      <c r="I119" s="224"/>
      <c r="J119" s="224"/>
      <c r="K119" s="224"/>
      <c r="L119" s="224"/>
      <c r="M119" s="14"/>
      <c r="N119" s="3" t="e">
        <f t="shared" si="35"/>
        <v>#DIV/0!</v>
      </c>
      <c r="O119" s="30">
        <f t="shared" si="27"/>
        <v>0</v>
      </c>
      <c r="Q119" s="11">
        <f t="shared" si="28"/>
        <v>0</v>
      </c>
    </row>
    <row r="120" spans="1:17" ht="12.75" hidden="1">
      <c r="A120" s="26">
        <v>425117</v>
      </c>
      <c r="B120" s="48" t="s">
        <v>24</v>
      </c>
      <c r="C120" s="31">
        <f t="shared" si="26"/>
        <v>86801.85</v>
      </c>
      <c r="D120" s="15">
        <v>86321.85</v>
      </c>
      <c r="E120" s="245"/>
      <c r="F120" s="245"/>
      <c r="G120" s="245"/>
      <c r="H120" s="245">
        <v>480</v>
      </c>
      <c r="I120" s="224"/>
      <c r="J120" s="224"/>
      <c r="K120" s="224"/>
      <c r="L120" s="224"/>
      <c r="M120" s="14"/>
      <c r="N120" s="3" t="e">
        <f t="shared" si="35"/>
        <v>#DIV/0!</v>
      </c>
      <c r="O120" s="30">
        <f t="shared" si="27"/>
        <v>0.015315735840313755</v>
      </c>
      <c r="Q120" s="11">
        <f t="shared" si="28"/>
        <v>0</v>
      </c>
    </row>
    <row r="121" spans="1:17" ht="12.75" hidden="1">
      <c r="A121" s="26">
        <v>425119</v>
      </c>
      <c r="B121" s="48" t="s">
        <v>81</v>
      </c>
      <c r="C121" s="31">
        <f t="shared" si="26"/>
        <v>477747.8</v>
      </c>
      <c r="D121" s="15">
        <v>477747.8</v>
      </c>
      <c r="E121" s="245"/>
      <c r="F121" s="245"/>
      <c r="G121" s="245"/>
      <c r="H121" s="245"/>
      <c r="I121" s="224"/>
      <c r="J121" s="224"/>
      <c r="K121" s="224"/>
      <c r="L121" s="224"/>
      <c r="M121" s="14"/>
      <c r="N121" s="3" t="e">
        <f t="shared" si="35"/>
        <v>#DIV/0!</v>
      </c>
      <c r="O121" s="30">
        <f t="shared" si="27"/>
        <v>0.08429611930034957</v>
      </c>
      <c r="Q121" s="11">
        <f t="shared" si="28"/>
        <v>0</v>
      </c>
    </row>
    <row r="122" spans="1:17" ht="12.75" hidden="1">
      <c r="A122" s="26">
        <v>425191</v>
      </c>
      <c r="B122" s="48" t="s">
        <v>120</v>
      </c>
      <c r="C122" s="31">
        <f t="shared" si="26"/>
        <v>0</v>
      </c>
      <c r="D122" s="15"/>
      <c r="E122" s="245"/>
      <c r="F122" s="245"/>
      <c r="G122" s="245"/>
      <c r="H122" s="245"/>
      <c r="I122" s="224"/>
      <c r="J122" s="224"/>
      <c r="K122" s="224"/>
      <c r="L122" s="224"/>
      <c r="M122" s="14"/>
      <c r="N122" s="3" t="e">
        <f t="shared" si="35"/>
        <v>#DIV/0!</v>
      </c>
      <c r="O122" s="30">
        <f t="shared" si="27"/>
        <v>0</v>
      </c>
      <c r="Q122" s="11">
        <f t="shared" si="28"/>
        <v>0</v>
      </c>
    </row>
    <row r="123" spans="1:17" ht="12.75">
      <c r="A123" s="12">
        <v>425100</v>
      </c>
      <c r="B123" s="28" t="s">
        <v>62</v>
      </c>
      <c r="C123" s="31">
        <f t="shared" si="26"/>
        <v>1995471.6600000001</v>
      </c>
      <c r="D123" s="9">
        <v>1559362.27</v>
      </c>
      <c r="E123" s="243">
        <f aca="true" t="shared" si="40" ref="E123:L123">SUM(E115:E122)</f>
        <v>0</v>
      </c>
      <c r="F123" s="243">
        <f t="shared" si="40"/>
        <v>0</v>
      </c>
      <c r="G123" s="243">
        <v>25950</v>
      </c>
      <c r="H123" s="243">
        <v>410159.39</v>
      </c>
      <c r="I123" s="243">
        <f t="shared" si="40"/>
        <v>0</v>
      </c>
      <c r="J123" s="243"/>
      <c r="K123" s="243">
        <f t="shared" si="40"/>
        <v>0</v>
      </c>
      <c r="L123" s="244">
        <f t="shared" si="40"/>
        <v>0</v>
      </c>
      <c r="M123" s="14">
        <v>2350000</v>
      </c>
      <c r="N123" s="3"/>
      <c r="O123" s="30">
        <f t="shared" si="27"/>
        <v>0.3520906158266487</v>
      </c>
      <c r="Q123" s="11">
        <f t="shared" si="28"/>
        <v>1.1641532182693481E-10</v>
      </c>
    </row>
    <row r="124" spans="1:17" ht="12.75" hidden="1">
      <c r="A124" s="26">
        <v>425211</v>
      </c>
      <c r="B124" s="48" t="s">
        <v>25</v>
      </c>
      <c r="C124" s="31">
        <f t="shared" si="26"/>
        <v>54273.42</v>
      </c>
      <c r="D124" s="15">
        <v>54273.42</v>
      </c>
      <c r="E124" s="245"/>
      <c r="F124" s="245"/>
      <c r="G124" s="245"/>
      <c r="H124" s="245"/>
      <c r="I124" s="273"/>
      <c r="J124" s="273"/>
      <c r="K124" s="224"/>
      <c r="L124" s="224"/>
      <c r="M124" s="14"/>
      <c r="N124" s="3"/>
      <c r="O124" s="30">
        <f t="shared" si="27"/>
        <v>0.009576263223311501</v>
      </c>
      <c r="Q124" s="11">
        <f t="shared" si="28"/>
        <v>0</v>
      </c>
    </row>
    <row r="125" spans="1:17" ht="12.75" hidden="1">
      <c r="A125" s="26">
        <v>425212</v>
      </c>
      <c r="B125" s="48" t="s">
        <v>102</v>
      </c>
      <c r="C125" s="31">
        <f t="shared" si="26"/>
        <v>24000</v>
      </c>
      <c r="D125" s="15">
        <v>24000</v>
      </c>
      <c r="E125" s="245"/>
      <c r="F125" s="245"/>
      <c r="G125" s="245"/>
      <c r="H125" s="245"/>
      <c r="I125" s="224"/>
      <c r="J125" s="224"/>
      <c r="K125" s="224"/>
      <c r="L125" s="224"/>
      <c r="M125" s="14"/>
      <c r="N125" s="3"/>
      <c r="O125" s="30">
        <f t="shared" si="27"/>
        <v>0.004234675414954061</v>
      </c>
      <c r="Q125" s="11">
        <f t="shared" si="28"/>
        <v>0</v>
      </c>
    </row>
    <row r="126" spans="1:17" ht="12.75" hidden="1">
      <c r="A126" s="26">
        <v>425213</v>
      </c>
      <c r="B126" s="48" t="s">
        <v>26</v>
      </c>
      <c r="C126" s="31">
        <f t="shared" si="26"/>
        <v>74000</v>
      </c>
      <c r="D126" s="15">
        <v>74000</v>
      </c>
      <c r="E126" s="245"/>
      <c r="F126" s="245"/>
      <c r="G126" s="245"/>
      <c r="H126" s="245"/>
      <c r="I126" s="224"/>
      <c r="J126" s="224"/>
      <c r="K126" s="224"/>
      <c r="L126" s="224"/>
      <c r="M126" s="14"/>
      <c r="N126" s="3"/>
      <c r="O126" s="30">
        <f t="shared" si="27"/>
        <v>0.01305691586277502</v>
      </c>
      <c r="Q126" s="11">
        <f t="shared" si="28"/>
        <v>0</v>
      </c>
    </row>
    <row r="127" spans="1:17" ht="12.75" hidden="1">
      <c r="A127" s="26">
        <v>425219</v>
      </c>
      <c r="B127" s="48" t="s">
        <v>103</v>
      </c>
      <c r="C127" s="31">
        <f t="shared" si="26"/>
        <v>0</v>
      </c>
      <c r="D127" s="15">
        <v>0</v>
      </c>
      <c r="E127" s="245"/>
      <c r="F127" s="245"/>
      <c r="G127" s="245"/>
      <c r="H127" s="245"/>
      <c r="I127" s="224"/>
      <c r="J127" s="224"/>
      <c r="K127" s="224"/>
      <c r="L127" s="224"/>
      <c r="M127" s="14"/>
      <c r="N127" s="3"/>
      <c r="O127" s="30">
        <f t="shared" si="27"/>
        <v>0</v>
      </c>
      <c r="Q127" s="11">
        <f t="shared" si="28"/>
        <v>0</v>
      </c>
    </row>
    <row r="128" spans="1:17" ht="12.75" hidden="1">
      <c r="A128" s="26">
        <v>425221</v>
      </c>
      <c r="B128" s="48" t="s">
        <v>87</v>
      </c>
      <c r="C128" s="31">
        <f t="shared" si="26"/>
        <v>0</v>
      </c>
      <c r="D128" s="15"/>
      <c r="E128" s="245"/>
      <c r="F128" s="245"/>
      <c r="G128" s="245"/>
      <c r="H128" s="245"/>
      <c r="I128" s="224"/>
      <c r="J128" s="224"/>
      <c r="K128" s="224"/>
      <c r="L128" s="224"/>
      <c r="M128" s="14"/>
      <c r="N128" s="3"/>
      <c r="O128" s="30">
        <f t="shared" si="27"/>
        <v>0</v>
      </c>
      <c r="Q128" s="11">
        <f t="shared" si="28"/>
        <v>0</v>
      </c>
    </row>
    <row r="129" spans="1:17" ht="12.75" hidden="1">
      <c r="A129" s="26">
        <v>425222</v>
      </c>
      <c r="B129" s="48" t="s">
        <v>88</v>
      </c>
      <c r="C129" s="31">
        <f t="shared" si="26"/>
        <v>363819.44</v>
      </c>
      <c r="D129" s="15">
        <v>350819.44</v>
      </c>
      <c r="E129" s="245"/>
      <c r="F129" s="245"/>
      <c r="G129" s="245">
        <v>13000</v>
      </c>
      <c r="H129" s="245"/>
      <c r="I129" s="224"/>
      <c r="J129" s="224"/>
      <c r="K129" s="224"/>
      <c r="L129" s="224"/>
      <c r="M129" s="14"/>
      <c r="N129" s="3"/>
      <c r="O129" s="30">
        <f t="shared" si="27"/>
        <v>0.06419405158543141</v>
      </c>
      <c r="Q129" s="11">
        <f t="shared" si="28"/>
        <v>0</v>
      </c>
    </row>
    <row r="130" spans="1:17" ht="12.75" hidden="1">
      <c r="A130" s="26">
        <v>425224</v>
      </c>
      <c r="B130" s="48" t="s">
        <v>109</v>
      </c>
      <c r="C130" s="31">
        <f t="shared" si="26"/>
        <v>0</v>
      </c>
      <c r="D130" s="15"/>
      <c r="E130" s="245"/>
      <c r="F130" s="245"/>
      <c r="G130" s="245"/>
      <c r="H130" s="245"/>
      <c r="I130" s="224"/>
      <c r="J130" s="224"/>
      <c r="K130" s="224"/>
      <c r="L130" s="224"/>
      <c r="M130" s="14"/>
      <c r="N130" s="3"/>
      <c r="O130" s="30">
        <f t="shared" si="27"/>
        <v>0</v>
      </c>
      <c r="Q130" s="11">
        <f t="shared" si="28"/>
        <v>0</v>
      </c>
    </row>
    <row r="131" spans="1:17" ht="12.75" hidden="1">
      <c r="A131" s="26">
        <v>425225</v>
      </c>
      <c r="B131" s="48" t="s">
        <v>108</v>
      </c>
      <c r="C131" s="31">
        <f t="shared" si="26"/>
        <v>16338.62</v>
      </c>
      <c r="D131" s="15">
        <v>16338.62</v>
      </c>
      <c r="E131" s="245"/>
      <c r="F131" s="245"/>
      <c r="G131" s="245"/>
      <c r="H131" s="245"/>
      <c r="I131" s="224"/>
      <c r="J131" s="224"/>
      <c r="K131" s="224"/>
      <c r="L131" s="224"/>
      <c r="M131" s="14"/>
      <c r="N131" s="3"/>
      <c r="O131" s="30">
        <f t="shared" si="27"/>
        <v>0.0028828646845115297</v>
      </c>
      <c r="Q131" s="11">
        <f t="shared" si="28"/>
        <v>0</v>
      </c>
    </row>
    <row r="132" spans="1:17" ht="12.75" hidden="1">
      <c r="A132" s="26">
        <v>425226</v>
      </c>
      <c r="B132" s="48" t="s">
        <v>117</v>
      </c>
      <c r="C132" s="31">
        <f t="shared" si="26"/>
        <v>28374.72</v>
      </c>
      <c r="D132" s="15">
        <v>28374.72</v>
      </c>
      <c r="E132" s="245"/>
      <c r="F132" s="245"/>
      <c r="G132" s="245"/>
      <c r="H132" s="245"/>
      <c r="I132" s="224"/>
      <c r="J132" s="224"/>
      <c r="K132" s="224"/>
      <c r="L132" s="224"/>
      <c r="M132" s="14"/>
      <c r="N132" s="3"/>
      <c r="O132" s="30">
        <f t="shared" si="27"/>
        <v>0.005006572049591887</v>
      </c>
      <c r="Q132" s="11">
        <f t="shared" si="28"/>
        <v>0</v>
      </c>
    </row>
    <row r="133" spans="1:17" ht="12.75" hidden="1">
      <c r="A133" s="26">
        <v>425227</v>
      </c>
      <c r="B133" s="48" t="s">
        <v>86</v>
      </c>
      <c r="C133" s="31">
        <f t="shared" si="26"/>
        <v>12273.17</v>
      </c>
      <c r="D133" s="15">
        <v>12273.17</v>
      </c>
      <c r="E133" s="245"/>
      <c r="F133" s="245"/>
      <c r="G133" s="245"/>
      <c r="H133" s="245"/>
      <c r="I133" s="224"/>
      <c r="J133" s="224"/>
      <c r="K133" s="224"/>
      <c r="L133" s="224"/>
      <c r="M133" s="14"/>
      <c r="N133" s="3"/>
      <c r="O133" s="30">
        <f t="shared" si="27"/>
        <v>0.0021655371359396553</v>
      </c>
      <c r="Q133" s="11">
        <f t="shared" si="28"/>
        <v>0</v>
      </c>
    </row>
    <row r="134" spans="1:17" ht="12.75" hidden="1">
      <c r="A134" s="26">
        <v>425251</v>
      </c>
      <c r="B134" s="48" t="s">
        <v>104</v>
      </c>
      <c r="C134" s="31">
        <f t="shared" si="26"/>
        <v>208947.96</v>
      </c>
      <c r="D134" s="15">
        <v>181447.96</v>
      </c>
      <c r="E134" s="245">
        <v>3500</v>
      </c>
      <c r="F134" s="245">
        <v>24000</v>
      </c>
      <c r="G134" s="245"/>
      <c r="H134" s="245"/>
      <c r="I134" s="224"/>
      <c r="J134" s="224"/>
      <c r="K134" s="224"/>
      <c r="L134" s="224"/>
      <c r="M134" s="14"/>
      <c r="N134" s="3"/>
      <c r="O134" s="30">
        <f t="shared" si="27"/>
        <v>0.03686778288403352</v>
      </c>
      <c r="Q134" s="11">
        <f t="shared" si="28"/>
        <v>0</v>
      </c>
    </row>
    <row r="135" spans="1:17" ht="12.75" hidden="1">
      <c r="A135" s="26">
        <v>425252</v>
      </c>
      <c r="B135" s="48" t="s">
        <v>112</v>
      </c>
      <c r="C135" s="31">
        <f t="shared" si="26"/>
        <v>73747.2</v>
      </c>
      <c r="D135" s="15">
        <v>73747.2</v>
      </c>
      <c r="E135" s="245"/>
      <c r="F135" s="245"/>
      <c r="G135" s="245"/>
      <c r="H135" s="245"/>
      <c r="I135" s="224"/>
      <c r="J135" s="224"/>
      <c r="K135" s="224"/>
      <c r="L135" s="224"/>
      <c r="M135" s="14"/>
      <c r="N135" s="3"/>
      <c r="O135" s="30">
        <f t="shared" si="27"/>
        <v>0.013012310615070837</v>
      </c>
      <c r="Q135" s="11">
        <f t="shared" si="28"/>
        <v>0</v>
      </c>
    </row>
    <row r="136" spans="1:17" ht="12.75" hidden="1">
      <c r="A136" s="26">
        <v>425281</v>
      </c>
      <c r="B136" s="48" t="s">
        <v>105</v>
      </c>
      <c r="C136" s="31">
        <f t="shared" si="26"/>
        <v>0</v>
      </c>
      <c r="D136" s="15"/>
      <c r="E136" s="245"/>
      <c r="F136" s="245"/>
      <c r="G136" s="245"/>
      <c r="H136" s="245"/>
      <c r="I136" s="224"/>
      <c r="J136" s="224"/>
      <c r="K136" s="224"/>
      <c r="L136" s="224"/>
      <c r="M136" s="14"/>
      <c r="N136" s="3"/>
      <c r="O136" s="30">
        <f t="shared" si="27"/>
        <v>0</v>
      </c>
      <c r="Q136" s="11">
        <f t="shared" si="28"/>
        <v>0</v>
      </c>
    </row>
    <row r="137" spans="1:17" ht="12.75" hidden="1">
      <c r="A137" s="26">
        <v>425291</v>
      </c>
      <c r="B137" s="48" t="s">
        <v>106</v>
      </c>
      <c r="C137" s="31">
        <f t="shared" si="26"/>
        <v>184104</v>
      </c>
      <c r="D137" s="15">
        <v>106649</v>
      </c>
      <c r="E137" s="245">
        <v>77455</v>
      </c>
      <c r="F137" s="245"/>
      <c r="G137" s="245"/>
      <c r="H137" s="245"/>
      <c r="I137" s="224"/>
      <c r="J137" s="224"/>
      <c r="K137" s="224"/>
      <c r="L137" s="224"/>
      <c r="M137" s="14"/>
      <c r="N137" s="3"/>
      <c r="O137" s="30">
        <f t="shared" si="27"/>
        <v>0.032484195108112596</v>
      </c>
      <c r="Q137" s="11">
        <f t="shared" si="28"/>
        <v>0</v>
      </c>
    </row>
    <row r="138" spans="1:17" ht="12.75">
      <c r="A138" s="12">
        <v>425200</v>
      </c>
      <c r="B138" s="28" t="s">
        <v>63</v>
      </c>
      <c r="C138" s="31">
        <f t="shared" si="26"/>
        <v>2686137.12</v>
      </c>
      <c r="D138" s="9">
        <v>2521786.12</v>
      </c>
      <c r="E138" s="243">
        <v>80955</v>
      </c>
      <c r="F138" s="243">
        <v>59596</v>
      </c>
      <c r="G138" s="243">
        <v>23800</v>
      </c>
      <c r="H138" s="243">
        <f>SUM(H124:H137)</f>
        <v>0</v>
      </c>
      <c r="I138" s="243">
        <f>SUM(I124:I137)</f>
        <v>0</v>
      </c>
      <c r="J138" s="243"/>
      <c r="K138" s="243">
        <f>SUM(K124:K137)</f>
        <v>0</v>
      </c>
      <c r="L138" s="244">
        <f>SUM(L124:L137)</f>
        <v>0</v>
      </c>
      <c r="M138" s="14">
        <v>2820000</v>
      </c>
      <c r="N138" s="3"/>
      <c r="O138" s="30">
        <f t="shared" si="27"/>
        <v>0.473954950969146</v>
      </c>
      <c r="Q138" s="11">
        <f t="shared" si="28"/>
        <v>0</v>
      </c>
    </row>
    <row r="139" spans="1:17" ht="12.75">
      <c r="A139" s="54">
        <v>426000</v>
      </c>
      <c r="B139" s="55" t="s">
        <v>133</v>
      </c>
      <c r="C139" s="31">
        <f t="shared" si="26"/>
        <v>60650513.099999994</v>
      </c>
      <c r="D139" s="9">
        <f aca="true" t="shared" si="41" ref="D139:L139">D144+D146+D151+D153+D154+D170+D174</f>
        <v>57047463.599999994</v>
      </c>
      <c r="E139" s="243">
        <f t="shared" si="41"/>
        <v>1307986.1600000001</v>
      </c>
      <c r="F139" s="243">
        <f t="shared" si="41"/>
        <v>0</v>
      </c>
      <c r="G139" s="243">
        <f t="shared" si="41"/>
        <v>2246045.52</v>
      </c>
      <c r="H139" s="243">
        <f t="shared" si="41"/>
        <v>29922.22</v>
      </c>
      <c r="I139" s="243">
        <f t="shared" si="41"/>
        <v>0</v>
      </c>
      <c r="J139" s="243">
        <f t="shared" si="41"/>
        <v>0</v>
      </c>
      <c r="K139" s="243">
        <f t="shared" si="41"/>
        <v>19095.6</v>
      </c>
      <c r="L139" s="243">
        <f t="shared" si="41"/>
        <v>0</v>
      </c>
      <c r="M139" s="171">
        <f>M144+M146+M151+M153+M154+M170+M174</f>
        <v>69338100</v>
      </c>
      <c r="N139" s="3">
        <f t="shared" si="35"/>
        <v>87.47068797674005</v>
      </c>
      <c r="O139" s="30">
        <f t="shared" si="27"/>
        <v>10.701468197038297</v>
      </c>
      <c r="Q139" s="11">
        <f t="shared" si="28"/>
        <v>-1.673470251262188E-10</v>
      </c>
    </row>
    <row r="140" spans="1:17" ht="12.75" hidden="1">
      <c r="A140" s="26">
        <v>426111</v>
      </c>
      <c r="B140" s="48" t="s">
        <v>27</v>
      </c>
      <c r="C140" s="31">
        <f t="shared" si="26"/>
        <v>1252827.51</v>
      </c>
      <c r="D140" s="15">
        <v>402211.76</v>
      </c>
      <c r="E140" s="245">
        <v>787255.75</v>
      </c>
      <c r="F140" s="245"/>
      <c r="G140" s="245">
        <v>63360</v>
      </c>
      <c r="H140" s="245"/>
      <c r="I140" s="224"/>
      <c r="J140" s="238"/>
      <c r="K140" s="238"/>
      <c r="L140" s="238"/>
      <c r="M140" s="204"/>
      <c r="N140" s="3" t="e">
        <f t="shared" si="35"/>
        <v>#DIV/0!</v>
      </c>
      <c r="O140" s="30">
        <f t="shared" si="27"/>
        <v>0.22105491065729635</v>
      </c>
      <c r="Q140" s="11">
        <f t="shared" si="28"/>
        <v>0</v>
      </c>
    </row>
    <row r="141" spans="1:17" ht="12.75" hidden="1">
      <c r="A141" s="26">
        <v>426121</v>
      </c>
      <c r="B141" s="48" t="s">
        <v>196</v>
      </c>
      <c r="C141" s="31">
        <f t="shared" si="26"/>
        <v>113600</v>
      </c>
      <c r="D141" s="15">
        <v>113600</v>
      </c>
      <c r="E141" s="245"/>
      <c r="F141" s="245"/>
      <c r="G141" s="245"/>
      <c r="H141" s="245"/>
      <c r="I141" s="224"/>
      <c r="J141" s="238"/>
      <c r="K141" s="238"/>
      <c r="L141" s="238"/>
      <c r="M141" s="204"/>
      <c r="N141" s="3" t="e">
        <f t="shared" si="35"/>
        <v>#DIV/0!</v>
      </c>
      <c r="O141" s="30">
        <f t="shared" si="27"/>
        <v>0.020044130297449222</v>
      </c>
      <c r="Q141" s="11">
        <f t="shared" si="28"/>
        <v>0</v>
      </c>
    </row>
    <row r="142" spans="1:17" ht="12.75" hidden="1">
      <c r="A142" s="26">
        <v>426123</v>
      </c>
      <c r="B142" s="48" t="s">
        <v>197</v>
      </c>
      <c r="C142" s="31">
        <f t="shared" si="26"/>
        <v>20040</v>
      </c>
      <c r="D142" s="15">
        <v>20040</v>
      </c>
      <c r="E142" s="245"/>
      <c r="F142" s="245"/>
      <c r="G142" s="245"/>
      <c r="H142" s="245"/>
      <c r="I142" s="224"/>
      <c r="J142" s="238"/>
      <c r="K142" s="238"/>
      <c r="L142" s="238"/>
      <c r="M142" s="204"/>
      <c r="N142" s="3" t="e">
        <f t="shared" si="35"/>
        <v>#DIV/0!</v>
      </c>
      <c r="O142" s="30">
        <f t="shared" si="27"/>
        <v>0.003535953971486641</v>
      </c>
      <c r="Q142" s="11">
        <f t="shared" si="28"/>
        <v>0</v>
      </c>
    </row>
    <row r="143" spans="1:17" ht="12.75" hidden="1">
      <c r="A143" s="26">
        <v>426124</v>
      </c>
      <c r="B143" s="48" t="s">
        <v>198</v>
      </c>
      <c r="C143" s="31">
        <f t="shared" si="26"/>
        <v>359400</v>
      </c>
      <c r="D143" s="15">
        <v>359400</v>
      </c>
      <c r="E143" s="245"/>
      <c r="F143" s="245"/>
      <c r="G143" s="245"/>
      <c r="H143" s="245"/>
      <c r="I143" s="224"/>
      <c r="J143" s="224"/>
      <c r="K143" s="224"/>
      <c r="L143" s="224"/>
      <c r="M143" s="204"/>
      <c r="N143" s="3" t="e">
        <f t="shared" si="35"/>
        <v>#DIV/0!</v>
      </c>
      <c r="O143" s="30">
        <f t="shared" si="27"/>
        <v>0.06341426433893706</v>
      </c>
      <c r="Q143" s="11">
        <f t="shared" si="28"/>
        <v>0</v>
      </c>
    </row>
    <row r="144" spans="1:17" ht="12.75">
      <c r="A144" s="12">
        <v>426100</v>
      </c>
      <c r="B144" s="28" t="s">
        <v>64</v>
      </c>
      <c r="C144" s="31">
        <f t="shared" si="26"/>
        <v>3734130.1100000003</v>
      </c>
      <c r="D144" s="9">
        <v>2614300.1</v>
      </c>
      <c r="E144" s="243">
        <v>874413.81</v>
      </c>
      <c r="F144" s="243">
        <f aca="true" t="shared" si="42" ref="F144:L144">SUM(F140:F143)</f>
        <v>0</v>
      </c>
      <c r="G144" s="243">
        <v>245416.2</v>
      </c>
      <c r="H144" s="243">
        <f t="shared" si="42"/>
        <v>0</v>
      </c>
      <c r="I144" s="243">
        <f t="shared" si="42"/>
        <v>0</v>
      </c>
      <c r="J144" s="243"/>
      <c r="K144" s="243">
        <f t="shared" si="42"/>
        <v>0</v>
      </c>
      <c r="L144" s="244">
        <f t="shared" si="42"/>
        <v>0</v>
      </c>
      <c r="M144" s="205">
        <v>6152000</v>
      </c>
      <c r="N144" s="3"/>
      <c r="O144" s="30">
        <f t="shared" si="27"/>
        <v>0.6588678738773627</v>
      </c>
      <c r="Q144" s="11">
        <f t="shared" si="28"/>
        <v>1.7462298274040222E-10</v>
      </c>
    </row>
    <row r="145" spans="1:17" ht="12.75" hidden="1">
      <c r="A145" s="26">
        <v>426311</v>
      </c>
      <c r="B145" s="48" t="s">
        <v>28</v>
      </c>
      <c r="C145" s="31">
        <f t="shared" si="26"/>
        <v>387895.44</v>
      </c>
      <c r="D145" s="15"/>
      <c r="E145" s="245"/>
      <c r="F145" s="245"/>
      <c r="G145" s="245">
        <v>387895.44</v>
      </c>
      <c r="H145" s="245"/>
      <c r="I145" s="224"/>
      <c r="J145" s="224"/>
      <c r="K145" s="224"/>
      <c r="L145" s="224"/>
      <c r="M145" s="205"/>
      <c r="N145" s="3" t="e">
        <f t="shared" si="35"/>
        <v>#DIV/0!</v>
      </c>
      <c r="O145" s="30">
        <f t="shared" si="27"/>
        <v>0.06844213680586617</v>
      </c>
      <c r="Q145" s="11">
        <f t="shared" si="28"/>
        <v>0</v>
      </c>
    </row>
    <row r="146" spans="1:17" ht="12.75">
      <c r="A146" s="12">
        <v>426300</v>
      </c>
      <c r="B146" s="28" t="s">
        <v>65</v>
      </c>
      <c r="C146" s="31">
        <f t="shared" si="26"/>
        <v>409895.44</v>
      </c>
      <c r="D146" s="9">
        <f aca="true" t="shared" si="43" ref="D146:L146">SUM(D145)</f>
        <v>0</v>
      </c>
      <c r="E146" s="243">
        <f t="shared" si="43"/>
        <v>0</v>
      </c>
      <c r="F146" s="243">
        <f t="shared" si="43"/>
        <v>0</v>
      </c>
      <c r="G146" s="243">
        <v>409895.44</v>
      </c>
      <c r="H146" s="243">
        <f t="shared" si="43"/>
        <v>0</v>
      </c>
      <c r="I146" s="243">
        <f t="shared" si="43"/>
        <v>0</v>
      </c>
      <c r="J146" s="243"/>
      <c r="K146" s="243">
        <f t="shared" si="43"/>
        <v>0</v>
      </c>
      <c r="L146" s="244">
        <f t="shared" si="43"/>
        <v>0</v>
      </c>
      <c r="M146" s="205">
        <v>410000</v>
      </c>
      <c r="N146" s="3"/>
      <c r="O146" s="30">
        <f t="shared" si="27"/>
        <v>0.07232392260290739</v>
      </c>
      <c r="Q146" s="11">
        <f t="shared" si="28"/>
        <v>0</v>
      </c>
    </row>
    <row r="147" spans="1:17" ht="13.5" hidden="1" thickBot="1">
      <c r="A147" s="36"/>
      <c r="B147" s="37"/>
      <c r="C147" s="31">
        <f t="shared" si="26"/>
        <v>0</v>
      </c>
      <c r="D147" s="36"/>
      <c r="E147" s="256"/>
      <c r="F147" s="257"/>
      <c r="G147" s="258"/>
      <c r="H147" s="258"/>
      <c r="I147" s="274"/>
      <c r="J147" s="260"/>
      <c r="K147" s="264"/>
      <c r="L147" s="261"/>
      <c r="M147" s="205"/>
      <c r="N147" s="3" t="e">
        <f t="shared" si="35"/>
        <v>#DIV/0!</v>
      </c>
      <c r="O147" s="30">
        <f t="shared" si="27"/>
        <v>0</v>
      </c>
      <c r="Q147" s="11">
        <f t="shared" si="28"/>
        <v>0</v>
      </c>
    </row>
    <row r="148" spans="1:17" ht="12.75" hidden="1">
      <c r="A148" s="26">
        <v>426411</v>
      </c>
      <c r="B148" s="48" t="s">
        <v>29</v>
      </c>
      <c r="C148" s="31">
        <f t="shared" si="26"/>
        <v>3043267.41</v>
      </c>
      <c r="D148" s="15">
        <v>3043267.41</v>
      </c>
      <c r="E148" s="245"/>
      <c r="F148" s="245"/>
      <c r="G148" s="245"/>
      <c r="H148" s="245"/>
      <c r="I148" s="224"/>
      <c r="J148" s="224"/>
      <c r="K148" s="224"/>
      <c r="L148" s="224"/>
      <c r="M148" s="205"/>
      <c r="N148" s="3" t="e">
        <f t="shared" si="35"/>
        <v>#DIV/0!</v>
      </c>
      <c r="O148" s="30">
        <f t="shared" si="27"/>
        <v>0.5369687367607466</v>
      </c>
      <c r="Q148" s="11">
        <f t="shared" si="28"/>
        <v>0</v>
      </c>
    </row>
    <row r="149" spans="1:17" ht="12.75" hidden="1">
      <c r="A149" s="26">
        <v>426413</v>
      </c>
      <c r="B149" s="48" t="s">
        <v>30</v>
      </c>
      <c r="C149" s="31">
        <f t="shared" si="26"/>
        <v>24474</v>
      </c>
      <c r="D149" s="15">
        <v>24474</v>
      </c>
      <c r="E149" s="245"/>
      <c r="F149" s="245"/>
      <c r="G149" s="245"/>
      <c r="H149" s="245"/>
      <c r="I149" s="224"/>
      <c r="J149" s="224"/>
      <c r="K149" s="224"/>
      <c r="L149" s="224"/>
      <c r="M149" s="205"/>
      <c r="N149" s="3" t="e">
        <f t="shared" si="35"/>
        <v>#DIV/0!</v>
      </c>
      <c r="O149" s="30">
        <f t="shared" si="27"/>
        <v>0.004318310254399403</v>
      </c>
      <c r="Q149" s="11">
        <f t="shared" si="28"/>
        <v>0</v>
      </c>
    </row>
    <row r="150" spans="1:17" ht="12.75" hidden="1">
      <c r="A150" s="26">
        <v>426491</v>
      </c>
      <c r="B150" s="48" t="s">
        <v>31</v>
      </c>
      <c r="C150" s="31">
        <f t="shared" si="26"/>
        <v>547429.29</v>
      </c>
      <c r="D150" s="15">
        <v>501536.94</v>
      </c>
      <c r="E150" s="245">
        <v>45892.35</v>
      </c>
      <c r="F150" s="245"/>
      <c r="G150" s="245"/>
      <c r="H150" s="245"/>
      <c r="I150" s="224"/>
      <c r="J150" s="224"/>
      <c r="K150" s="224"/>
      <c r="L150" s="224"/>
      <c r="M150" s="205"/>
      <c r="N150" s="3" t="e">
        <f t="shared" si="35"/>
        <v>#DIV/0!</v>
      </c>
      <c r="O150" s="30">
        <f t="shared" si="27"/>
        <v>0.0965910564911982</v>
      </c>
      <c r="Q150" s="11">
        <f t="shared" si="28"/>
        <v>3.637978807091713E-11</v>
      </c>
    </row>
    <row r="151" spans="1:17" ht="12.75">
      <c r="A151" s="12">
        <v>426400</v>
      </c>
      <c r="B151" s="28" t="s">
        <v>66</v>
      </c>
      <c r="C151" s="31">
        <f aca="true" t="shared" si="44" ref="C151:C204">D151+E151+F151+G151+H151+I151+J151+K151+L151</f>
        <v>8078416.2299999995</v>
      </c>
      <c r="D151" s="9">
        <v>8032523.88</v>
      </c>
      <c r="E151" s="243">
        <v>45892.35</v>
      </c>
      <c r="F151" s="243">
        <f aca="true" t="shared" si="45" ref="F151:L151">SUM(F148:F150)</f>
        <v>0</v>
      </c>
      <c r="G151" s="243">
        <f t="shared" si="45"/>
        <v>0</v>
      </c>
      <c r="H151" s="243">
        <f t="shared" si="45"/>
        <v>0</v>
      </c>
      <c r="I151" s="243">
        <f t="shared" si="45"/>
        <v>0</v>
      </c>
      <c r="J151" s="243"/>
      <c r="K151" s="243">
        <f t="shared" si="45"/>
        <v>0</v>
      </c>
      <c r="L151" s="244">
        <f t="shared" si="45"/>
        <v>0</v>
      </c>
      <c r="M151" s="205">
        <v>8682000</v>
      </c>
      <c r="N151" s="3"/>
      <c r="O151" s="30">
        <f aca="true" t="shared" si="46" ref="O151:O204">C151*100/566749458.89</f>
        <v>1.4253946083727862</v>
      </c>
      <c r="Q151" s="11">
        <f aca="true" t="shared" si="47" ref="Q151:Q214">C151-D151-E151-F151-G151-H151-I151-J151-K151-L151</f>
        <v>-3.710738383233547E-10</v>
      </c>
    </row>
    <row r="152" spans="1:17" ht="12.75" hidden="1">
      <c r="A152" s="20">
        <v>426591</v>
      </c>
      <c r="B152" s="62" t="s">
        <v>199</v>
      </c>
      <c r="C152" s="31">
        <f t="shared" si="44"/>
        <v>146856</v>
      </c>
      <c r="D152" s="63">
        <v>146856</v>
      </c>
      <c r="E152" s="241"/>
      <c r="F152" s="241"/>
      <c r="G152" s="241"/>
      <c r="H152" s="241"/>
      <c r="I152" s="270"/>
      <c r="J152" s="270"/>
      <c r="K152" s="270"/>
      <c r="L152" s="270"/>
      <c r="M152" s="205"/>
      <c r="N152" s="3" t="e">
        <f>C152*100/M152</f>
        <v>#DIV/0!</v>
      </c>
      <c r="O152" s="30">
        <f t="shared" si="46"/>
        <v>0.025911978864103898</v>
      </c>
      <c r="Q152" s="11">
        <f t="shared" si="47"/>
        <v>0</v>
      </c>
    </row>
    <row r="153" spans="1:17" ht="12.75">
      <c r="A153" s="12">
        <v>426500</v>
      </c>
      <c r="B153" s="28" t="s">
        <v>200</v>
      </c>
      <c r="C153" s="31">
        <f t="shared" si="44"/>
        <v>433152</v>
      </c>
      <c r="D153" s="9">
        <v>433152</v>
      </c>
      <c r="E153" s="243">
        <f aca="true" t="shared" si="48" ref="E153:L153">SUM(E152)</f>
        <v>0</v>
      </c>
      <c r="F153" s="243">
        <f t="shared" si="48"/>
        <v>0</v>
      </c>
      <c r="G153" s="243">
        <f t="shared" si="48"/>
        <v>0</v>
      </c>
      <c r="H153" s="243">
        <f t="shared" si="48"/>
        <v>0</v>
      </c>
      <c r="I153" s="243">
        <f t="shared" si="48"/>
        <v>0</v>
      </c>
      <c r="J153" s="243"/>
      <c r="K153" s="243">
        <f t="shared" si="48"/>
        <v>0</v>
      </c>
      <c r="L153" s="244">
        <f t="shared" si="48"/>
        <v>0</v>
      </c>
      <c r="M153" s="205">
        <v>450000</v>
      </c>
      <c r="N153" s="3"/>
      <c r="O153" s="30">
        <f t="shared" si="46"/>
        <v>0.07642742188909088</v>
      </c>
      <c r="Q153" s="11">
        <f t="shared" si="47"/>
        <v>0</v>
      </c>
    </row>
    <row r="154" spans="1:17" ht="12.75">
      <c r="A154" s="54">
        <v>426700</v>
      </c>
      <c r="B154" s="55" t="s">
        <v>67</v>
      </c>
      <c r="C154" s="31">
        <f t="shared" si="44"/>
        <v>45011678.85</v>
      </c>
      <c r="D154" s="31">
        <f aca="true" t="shared" si="49" ref="D154:L154">D155+D158+D162+D163+D165</f>
        <v>43629154.76</v>
      </c>
      <c r="E154" s="275">
        <f t="shared" si="49"/>
        <v>387680</v>
      </c>
      <c r="F154" s="275">
        <f t="shared" si="49"/>
        <v>0</v>
      </c>
      <c r="G154" s="275">
        <f t="shared" si="49"/>
        <v>994844.09</v>
      </c>
      <c r="H154" s="275">
        <f t="shared" si="49"/>
        <v>0</v>
      </c>
      <c r="I154" s="275">
        <f t="shared" si="49"/>
        <v>0</v>
      </c>
      <c r="J154" s="275">
        <f t="shared" si="49"/>
        <v>0</v>
      </c>
      <c r="K154" s="275">
        <f t="shared" si="49"/>
        <v>0</v>
      </c>
      <c r="L154" s="275">
        <f t="shared" si="49"/>
        <v>0</v>
      </c>
      <c r="M154" s="171">
        <f>M155+M158+M162+M163+M165</f>
        <v>50079000</v>
      </c>
      <c r="N154" s="3"/>
      <c r="O154" s="30">
        <f t="shared" si="46"/>
        <v>7.942077075495944</v>
      </c>
      <c r="Q154" s="11">
        <f t="shared" si="47"/>
        <v>3.6088749766349792E-09</v>
      </c>
    </row>
    <row r="155" spans="1:17" ht="12.75">
      <c r="A155" s="20">
        <v>426711</v>
      </c>
      <c r="B155" s="72" t="s">
        <v>260</v>
      </c>
      <c r="C155" s="31">
        <f t="shared" si="44"/>
        <v>20203991.78</v>
      </c>
      <c r="D155" s="9">
        <f>4068632.56+1161316.2+6959.13+14301224.8</f>
        <v>19538132.69</v>
      </c>
      <c r="E155" s="243">
        <f aca="true" t="shared" si="50" ref="E155:L155">E156+E157+E159+E160</f>
        <v>0</v>
      </c>
      <c r="F155" s="243">
        <f t="shared" si="50"/>
        <v>0</v>
      </c>
      <c r="G155" s="243">
        <f>64260+601599.09</f>
        <v>665859.09</v>
      </c>
      <c r="H155" s="243">
        <f t="shared" si="50"/>
        <v>0</v>
      </c>
      <c r="I155" s="243">
        <f t="shared" si="50"/>
        <v>0</v>
      </c>
      <c r="J155" s="243">
        <f t="shared" si="50"/>
        <v>0</v>
      </c>
      <c r="K155" s="243">
        <f t="shared" si="50"/>
        <v>0</v>
      </c>
      <c r="L155" s="243">
        <f t="shared" si="50"/>
        <v>0</v>
      </c>
      <c r="M155" s="171">
        <v>23000000</v>
      </c>
      <c r="N155" s="3"/>
      <c r="O155" s="30">
        <f t="shared" si="46"/>
        <v>3.5648894697791635</v>
      </c>
      <c r="Q155" s="11">
        <f t="shared" si="47"/>
        <v>-1.1641532182693481E-10</v>
      </c>
    </row>
    <row r="156" spans="1:17" ht="12.75" hidden="1">
      <c r="A156" s="26">
        <v>4267111</v>
      </c>
      <c r="B156" s="48" t="s">
        <v>32</v>
      </c>
      <c r="C156" s="31">
        <f t="shared" si="44"/>
        <v>1845663.42</v>
      </c>
      <c r="D156" s="15">
        <v>1845663.42</v>
      </c>
      <c r="E156" s="245"/>
      <c r="F156" s="245"/>
      <c r="G156" s="245"/>
      <c r="H156" s="245"/>
      <c r="I156" s="224"/>
      <c r="J156" s="224"/>
      <c r="K156" s="224"/>
      <c r="L156" s="224"/>
      <c r="M156" s="205"/>
      <c r="N156" s="3" t="e">
        <f>C156*100/M156</f>
        <v>#DIV/0!</v>
      </c>
      <c r="O156" s="30">
        <f t="shared" si="46"/>
        <v>0.32565772953975125</v>
      </c>
      <c r="Q156" s="11">
        <f t="shared" si="47"/>
        <v>0</v>
      </c>
    </row>
    <row r="157" spans="1:17" ht="12.75" hidden="1">
      <c r="A157" s="26">
        <v>4267112</v>
      </c>
      <c r="B157" s="48" t="s">
        <v>82</v>
      </c>
      <c r="C157" s="31">
        <f t="shared" si="44"/>
        <v>401583.6</v>
      </c>
      <c r="D157" s="15">
        <v>401583.6</v>
      </c>
      <c r="E157" s="245"/>
      <c r="F157" s="245"/>
      <c r="G157" s="245"/>
      <c r="H157" s="245"/>
      <c r="I157" s="224"/>
      <c r="J157" s="224"/>
      <c r="K157" s="224"/>
      <c r="L157" s="224"/>
      <c r="M157" s="205"/>
      <c r="N157" s="3" t="e">
        <f>C157*100/M157</f>
        <v>#DIV/0!</v>
      </c>
      <c r="O157" s="30">
        <f t="shared" si="46"/>
        <v>0.07085734158203107</v>
      </c>
      <c r="Q157" s="11">
        <f t="shared" si="47"/>
        <v>0</v>
      </c>
    </row>
    <row r="158" spans="1:17" ht="12.75">
      <c r="A158" s="26">
        <v>4267113</v>
      </c>
      <c r="B158" s="48" t="s">
        <v>201</v>
      </c>
      <c r="C158" s="31">
        <f t="shared" si="44"/>
        <v>2419219.88</v>
      </c>
      <c r="D158" s="15">
        <v>2002554.88</v>
      </c>
      <c r="E158" s="245">
        <v>387680</v>
      </c>
      <c r="F158" s="245"/>
      <c r="G158" s="245">
        <v>28985</v>
      </c>
      <c r="H158" s="245"/>
      <c r="I158" s="224"/>
      <c r="J158" s="224"/>
      <c r="K158" s="224"/>
      <c r="L158" s="224"/>
      <c r="M158" s="205">
        <v>3000000</v>
      </c>
      <c r="N158" s="3"/>
      <c r="O158" s="30">
        <f t="shared" si="46"/>
        <v>0.42685878955017137</v>
      </c>
      <c r="Q158" s="11">
        <f t="shared" si="47"/>
        <v>0</v>
      </c>
    </row>
    <row r="159" spans="1:17" ht="12.75" hidden="1">
      <c r="A159" s="26">
        <v>4267114</v>
      </c>
      <c r="B159" s="48" t="s">
        <v>202</v>
      </c>
      <c r="C159" s="31">
        <f t="shared" si="44"/>
        <v>5809.13</v>
      </c>
      <c r="D159" s="15">
        <v>5809.13</v>
      </c>
      <c r="E159" s="245"/>
      <c r="F159" s="245"/>
      <c r="G159" s="245"/>
      <c r="H159" s="245"/>
      <c r="I159" s="224"/>
      <c r="J159" s="224"/>
      <c r="K159" s="224"/>
      <c r="L159" s="224"/>
      <c r="M159" s="205"/>
      <c r="N159" s="3" t="e">
        <f>C159*100/M159</f>
        <v>#DIV/0!</v>
      </c>
      <c r="O159" s="30">
        <f t="shared" si="46"/>
        <v>0.0010249908330530035</v>
      </c>
      <c r="Q159" s="11">
        <f t="shared" si="47"/>
        <v>0</v>
      </c>
    </row>
    <row r="160" spans="1:17" ht="12.75" hidden="1">
      <c r="A160" s="26">
        <v>426721</v>
      </c>
      <c r="B160" s="48" t="s">
        <v>33</v>
      </c>
      <c r="C160" s="31">
        <f t="shared" si="44"/>
        <v>7919927.9399999995</v>
      </c>
      <c r="D160" s="15">
        <v>7318328.85</v>
      </c>
      <c r="E160" s="245"/>
      <c r="F160" s="245"/>
      <c r="G160" s="245">
        <v>601599.09</v>
      </c>
      <c r="H160" s="245"/>
      <c r="I160" s="224"/>
      <c r="J160" s="224"/>
      <c r="K160" s="224"/>
      <c r="L160" s="224"/>
      <c r="M160" s="205"/>
      <c r="N160" s="3" t="e">
        <f>C160*100/M160</f>
        <v>#DIV/0!</v>
      </c>
      <c r="O160" s="30">
        <f t="shared" si="46"/>
        <v>1.3974301723219067</v>
      </c>
      <c r="Q160" s="11">
        <f t="shared" si="47"/>
        <v>-1.1641532182693481E-10</v>
      </c>
    </row>
    <row r="161" spans="1:17" ht="12.75" hidden="1">
      <c r="A161" s="26">
        <v>426731</v>
      </c>
      <c r="B161" s="48" t="s">
        <v>203</v>
      </c>
      <c r="C161" s="31">
        <f t="shared" si="44"/>
        <v>0</v>
      </c>
      <c r="D161" s="15"/>
      <c r="E161" s="245"/>
      <c r="F161" s="245"/>
      <c r="G161" s="245"/>
      <c r="H161" s="245"/>
      <c r="I161" s="224"/>
      <c r="J161" s="224"/>
      <c r="K161" s="224"/>
      <c r="L161" s="224"/>
      <c r="M161" s="205"/>
      <c r="N161" s="3" t="e">
        <f>C161*100/M161</f>
        <v>#DIV/0!</v>
      </c>
      <c r="O161" s="30">
        <f t="shared" si="46"/>
        <v>0</v>
      </c>
      <c r="Q161" s="11">
        <f t="shared" si="47"/>
        <v>0</v>
      </c>
    </row>
    <row r="162" spans="1:17" ht="12.75">
      <c r="A162" s="26">
        <v>4267511</v>
      </c>
      <c r="B162" s="62" t="s">
        <v>261</v>
      </c>
      <c r="C162" s="31">
        <f t="shared" si="44"/>
        <v>11259305</v>
      </c>
      <c r="D162" s="15">
        <f>10747209.76+212095.24</f>
        <v>10959305</v>
      </c>
      <c r="E162" s="245"/>
      <c r="F162" s="245"/>
      <c r="G162" s="245">
        <v>300000</v>
      </c>
      <c r="H162" s="245"/>
      <c r="I162" s="224"/>
      <c r="J162" s="224"/>
      <c r="K162" s="224"/>
      <c r="L162" s="224"/>
      <c r="M162" s="205">
        <v>12133000</v>
      </c>
      <c r="N162" s="3"/>
      <c r="O162" s="30">
        <f t="shared" si="46"/>
        <v>1.9866459197070554</v>
      </c>
      <c r="Q162" s="11">
        <f t="shared" si="47"/>
        <v>0</v>
      </c>
    </row>
    <row r="163" spans="1:17" ht="12.75">
      <c r="A163" s="26">
        <v>4267512</v>
      </c>
      <c r="B163" s="48" t="s">
        <v>204</v>
      </c>
      <c r="C163" s="31">
        <f t="shared" si="44"/>
        <v>7053889.98</v>
      </c>
      <c r="D163" s="15">
        <v>7053889.98</v>
      </c>
      <c r="E163" s="245"/>
      <c r="F163" s="245"/>
      <c r="G163" s="245"/>
      <c r="H163" s="245"/>
      <c r="I163" s="224"/>
      <c r="J163" s="224"/>
      <c r="K163" s="224"/>
      <c r="L163" s="224"/>
      <c r="M163" s="205">
        <v>7054000</v>
      </c>
      <c r="N163" s="3"/>
      <c r="O163" s="30">
        <f t="shared" si="46"/>
        <v>1.2446222699206997</v>
      </c>
      <c r="Q163" s="11">
        <f t="shared" si="47"/>
        <v>0</v>
      </c>
    </row>
    <row r="164" spans="1:17" ht="12.75" hidden="1">
      <c r="A164" s="26">
        <v>4267513</v>
      </c>
      <c r="B164" s="48" t="s">
        <v>205</v>
      </c>
      <c r="C164" s="31">
        <f t="shared" si="44"/>
        <v>168450.24</v>
      </c>
      <c r="D164" s="15">
        <v>168450.24</v>
      </c>
      <c r="E164" s="245"/>
      <c r="F164" s="245"/>
      <c r="G164" s="245"/>
      <c r="H164" s="245"/>
      <c r="I164" s="224"/>
      <c r="J164" s="224"/>
      <c r="K164" s="224"/>
      <c r="L164" s="224"/>
      <c r="M164" s="205"/>
      <c r="N164" s="3" t="e">
        <f>C164*100/M164</f>
        <v>#DIV/0!</v>
      </c>
      <c r="O164" s="30">
        <f t="shared" si="46"/>
        <v>0.029722170415462962</v>
      </c>
      <c r="Q164" s="11">
        <f t="shared" si="47"/>
        <v>0</v>
      </c>
    </row>
    <row r="165" spans="1:17" ht="12.75">
      <c r="A165" s="26">
        <v>426791</v>
      </c>
      <c r="B165" s="48" t="s">
        <v>206</v>
      </c>
      <c r="C165" s="31">
        <f t="shared" si="44"/>
        <v>4075272.21</v>
      </c>
      <c r="D165" s="15">
        <v>4075272.21</v>
      </c>
      <c r="E165" s="245"/>
      <c r="F165" s="245"/>
      <c r="G165" s="245"/>
      <c r="H165" s="245"/>
      <c r="I165" s="224"/>
      <c r="J165" s="224"/>
      <c r="K165" s="224"/>
      <c r="L165" s="224"/>
      <c r="M165" s="205">
        <v>4892000</v>
      </c>
      <c r="N165" s="3"/>
      <c r="O165" s="30">
        <f t="shared" si="46"/>
        <v>0.7190606265388543</v>
      </c>
      <c r="Q165" s="11">
        <f t="shared" si="47"/>
        <v>0</v>
      </c>
    </row>
    <row r="166" spans="1:17" ht="12.75" hidden="1">
      <c r="A166" s="12"/>
      <c r="B166" s="28"/>
      <c r="C166" s="31">
        <f t="shared" si="44"/>
        <v>0</v>
      </c>
      <c r="D166" s="9"/>
      <c r="E166" s="243"/>
      <c r="F166" s="243"/>
      <c r="G166" s="243"/>
      <c r="H166" s="243"/>
      <c r="I166" s="243"/>
      <c r="J166" s="243"/>
      <c r="K166" s="243"/>
      <c r="L166" s="244"/>
      <c r="M166" s="204"/>
      <c r="N166" s="3"/>
      <c r="O166" s="30">
        <f t="shared" si="46"/>
        <v>0</v>
      </c>
      <c r="Q166" s="11">
        <f t="shared" si="47"/>
        <v>0</v>
      </c>
    </row>
    <row r="167" spans="1:17" ht="12.75" hidden="1">
      <c r="A167" s="26">
        <v>426811</v>
      </c>
      <c r="B167" s="48" t="s">
        <v>34</v>
      </c>
      <c r="C167" s="31">
        <f t="shared" si="44"/>
        <v>266817.26999999996</v>
      </c>
      <c r="D167" s="15">
        <v>263125.05</v>
      </c>
      <c r="E167" s="245"/>
      <c r="F167" s="245"/>
      <c r="G167" s="245"/>
      <c r="H167" s="245">
        <v>3692.22</v>
      </c>
      <c r="I167" s="224"/>
      <c r="J167" s="224"/>
      <c r="K167" s="224"/>
      <c r="L167" s="224"/>
      <c r="M167" s="204"/>
      <c r="N167" s="3" t="e">
        <f>C167*100/M167</f>
        <v>#DIV/0!</v>
      </c>
      <c r="O167" s="30">
        <f t="shared" si="46"/>
        <v>0.04707852223142331</v>
      </c>
      <c r="Q167" s="11">
        <f t="shared" si="47"/>
        <v>-2.773958840407431E-11</v>
      </c>
    </row>
    <row r="168" spans="1:17" ht="12.75" hidden="1">
      <c r="A168" s="26">
        <v>426812</v>
      </c>
      <c r="B168" s="48" t="s">
        <v>35</v>
      </c>
      <c r="C168" s="31">
        <f t="shared" si="44"/>
        <v>19763.36</v>
      </c>
      <c r="D168" s="15">
        <v>19763.36</v>
      </c>
      <c r="E168" s="245"/>
      <c r="F168" s="245"/>
      <c r="G168" s="245"/>
      <c r="H168" s="245"/>
      <c r="I168" s="224"/>
      <c r="J168" s="224"/>
      <c r="K168" s="224"/>
      <c r="L168" s="224"/>
      <c r="M168" s="204"/>
      <c r="N168" s="3" t="e">
        <f>C168*100/M168</f>
        <v>#DIV/0!</v>
      </c>
      <c r="O168" s="30">
        <f t="shared" si="46"/>
        <v>0.003487142279536937</v>
      </c>
      <c r="Q168" s="11">
        <f t="shared" si="47"/>
        <v>0</v>
      </c>
    </row>
    <row r="169" spans="1:17" ht="12.75" hidden="1">
      <c r="A169" s="26">
        <v>426819</v>
      </c>
      <c r="B169" s="48" t="s">
        <v>36</v>
      </c>
      <c r="C169" s="31">
        <f t="shared" si="44"/>
        <v>0</v>
      </c>
      <c r="D169" s="15"/>
      <c r="E169" s="245"/>
      <c r="F169" s="245"/>
      <c r="G169" s="245"/>
      <c r="H169" s="245"/>
      <c r="I169" s="224"/>
      <c r="J169" s="224"/>
      <c r="K169" s="224"/>
      <c r="L169" s="224"/>
      <c r="M169" s="204"/>
      <c r="N169" s="3" t="e">
        <f>C169*100/M169</f>
        <v>#DIV/0!</v>
      </c>
      <c r="O169" s="30">
        <f t="shared" si="46"/>
        <v>0</v>
      </c>
      <c r="Q169" s="11">
        <f t="shared" si="47"/>
        <v>0</v>
      </c>
    </row>
    <row r="170" spans="1:17" ht="12.75">
      <c r="A170" s="12">
        <v>426800</v>
      </c>
      <c r="B170" s="28" t="s">
        <v>68</v>
      </c>
      <c r="C170" s="31">
        <f t="shared" si="44"/>
        <v>1082698.6199999999</v>
      </c>
      <c r="D170" s="9">
        <v>1073951.4</v>
      </c>
      <c r="E170" s="243">
        <f aca="true" t="shared" si="51" ref="E170:L170">SUM(E167:E169)</f>
        <v>0</v>
      </c>
      <c r="F170" s="243">
        <f t="shared" si="51"/>
        <v>0</v>
      </c>
      <c r="G170" s="243">
        <v>0</v>
      </c>
      <c r="H170" s="243">
        <v>8747.22</v>
      </c>
      <c r="I170" s="243">
        <f t="shared" si="51"/>
        <v>0</v>
      </c>
      <c r="J170" s="243"/>
      <c r="K170" s="243">
        <f t="shared" si="51"/>
        <v>0</v>
      </c>
      <c r="L170" s="244">
        <f t="shared" si="51"/>
        <v>0</v>
      </c>
      <c r="M170" s="205">
        <v>1220000</v>
      </c>
      <c r="N170" s="3"/>
      <c r="O170" s="30">
        <f t="shared" si="46"/>
        <v>0.19103655116327867</v>
      </c>
      <c r="Q170" s="11">
        <f t="shared" si="47"/>
        <v>-2.7284841053187847E-11</v>
      </c>
    </row>
    <row r="171" spans="1:17" ht="12.75" hidden="1">
      <c r="A171" s="20">
        <v>426911</v>
      </c>
      <c r="B171" s="62" t="s">
        <v>118</v>
      </c>
      <c r="C171" s="31">
        <f t="shared" si="44"/>
        <v>225464.76</v>
      </c>
      <c r="D171" s="15">
        <v>225464.76</v>
      </c>
      <c r="E171" s="245"/>
      <c r="F171" s="245"/>
      <c r="G171" s="245"/>
      <c r="H171" s="245"/>
      <c r="I171" s="224"/>
      <c r="J171" s="224"/>
      <c r="K171" s="224"/>
      <c r="L171" s="224"/>
      <c r="M171" s="204"/>
      <c r="N171" s="3" t="e">
        <f>C171*100/M171</f>
        <v>#DIV/0!</v>
      </c>
      <c r="O171" s="30">
        <f t="shared" si="46"/>
        <v>0.0397820865046049</v>
      </c>
      <c r="Q171" s="11">
        <f t="shared" si="47"/>
        <v>0</v>
      </c>
    </row>
    <row r="172" spans="1:17" ht="12.75" hidden="1">
      <c r="A172" s="26">
        <v>426913</v>
      </c>
      <c r="B172" s="48" t="s">
        <v>37</v>
      </c>
      <c r="C172" s="31">
        <f t="shared" si="44"/>
        <v>266597.18</v>
      </c>
      <c r="D172" s="15">
        <v>218372.18</v>
      </c>
      <c r="E172" s="245"/>
      <c r="F172" s="245"/>
      <c r="G172" s="245">
        <v>43030</v>
      </c>
      <c r="H172" s="245">
        <v>5195</v>
      </c>
      <c r="I172" s="224"/>
      <c r="J172" s="224"/>
      <c r="K172" s="224"/>
      <c r="L172" s="224"/>
      <c r="M172" s="204"/>
      <c r="N172" s="3" t="e">
        <f>C172*100/M172</f>
        <v>#DIV/0!</v>
      </c>
      <c r="O172" s="30">
        <f t="shared" si="46"/>
        <v>0.0470396884934201</v>
      </c>
      <c r="Q172" s="11">
        <f t="shared" si="47"/>
        <v>0</v>
      </c>
    </row>
    <row r="173" spans="1:17" ht="12.75" hidden="1">
      <c r="A173" s="26">
        <v>426919</v>
      </c>
      <c r="B173" s="48" t="s">
        <v>38</v>
      </c>
      <c r="C173" s="31">
        <f t="shared" si="44"/>
        <v>54716.39</v>
      </c>
      <c r="D173" s="15">
        <v>0</v>
      </c>
      <c r="E173" s="245"/>
      <c r="F173" s="245"/>
      <c r="G173" s="245">
        <v>35620.79</v>
      </c>
      <c r="H173" s="245"/>
      <c r="I173" s="224"/>
      <c r="J173" s="224"/>
      <c r="K173" s="224">
        <v>19095.6</v>
      </c>
      <c r="L173" s="224"/>
      <c r="M173" s="204"/>
      <c r="N173" s="3" t="e">
        <f>C173*100/M173</f>
        <v>#DIV/0!</v>
      </c>
      <c r="O173" s="30">
        <f t="shared" si="46"/>
        <v>0.009654422980334925</v>
      </c>
      <c r="Q173" s="11">
        <f t="shared" si="47"/>
        <v>0</v>
      </c>
    </row>
    <row r="174" spans="1:17" ht="13.5" thickBot="1">
      <c r="A174" s="12">
        <v>426900</v>
      </c>
      <c r="B174" s="28" t="s">
        <v>69</v>
      </c>
      <c r="C174" s="31">
        <f t="shared" si="44"/>
        <v>1900541.85</v>
      </c>
      <c r="D174" s="9">
        <v>1264381.46</v>
      </c>
      <c r="E174" s="243">
        <f aca="true" t="shared" si="52" ref="E174:L174">SUM(E171:E173)</f>
        <v>0</v>
      </c>
      <c r="F174" s="243">
        <f t="shared" si="52"/>
        <v>0</v>
      </c>
      <c r="G174" s="243">
        <v>595889.79</v>
      </c>
      <c r="H174" s="243">
        <v>21175</v>
      </c>
      <c r="I174" s="243">
        <f t="shared" si="52"/>
        <v>0</v>
      </c>
      <c r="J174" s="243"/>
      <c r="K174" s="243">
        <v>19095.6</v>
      </c>
      <c r="L174" s="244">
        <f t="shared" si="52"/>
        <v>0</v>
      </c>
      <c r="M174" s="205">
        <v>2345100</v>
      </c>
      <c r="N174" s="3"/>
      <c r="O174" s="30">
        <f t="shared" si="46"/>
        <v>0.3353407436369295</v>
      </c>
      <c r="Q174" s="11">
        <f t="shared" si="47"/>
        <v>9.458744898438454E-11</v>
      </c>
    </row>
    <row r="175" spans="1:17" ht="13.5" hidden="1" thickBot="1">
      <c r="A175" s="26">
        <v>431111</v>
      </c>
      <c r="B175" s="48" t="s">
        <v>207</v>
      </c>
      <c r="C175" s="31">
        <f t="shared" si="44"/>
        <v>0</v>
      </c>
      <c r="D175" s="69"/>
      <c r="E175" s="271"/>
      <c r="F175" s="271"/>
      <c r="G175" s="271"/>
      <c r="H175" s="271"/>
      <c r="I175" s="272"/>
      <c r="J175" s="272"/>
      <c r="K175" s="272"/>
      <c r="L175" s="272"/>
      <c r="M175" s="73"/>
      <c r="N175" s="34" t="e">
        <f>C175*100/M175</f>
        <v>#DIV/0!</v>
      </c>
      <c r="O175" s="30">
        <f t="shared" si="46"/>
        <v>0</v>
      </c>
      <c r="Q175" s="11">
        <f t="shared" si="47"/>
        <v>0</v>
      </c>
    </row>
    <row r="176" spans="1:17" ht="45.75" thickBot="1">
      <c r="A176" s="36" t="s">
        <v>0</v>
      </c>
      <c r="B176" s="37" t="s">
        <v>1</v>
      </c>
      <c r="C176" s="31" t="e">
        <f t="shared" si="44"/>
        <v>#VALUE!</v>
      </c>
      <c r="D176" s="36" t="s">
        <v>153</v>
      </c>
      <c r="E176" s="256" t="s">
        <v>93</v>
      </c>
      <c r="F176" s="257" t="s">
        <v>284</v>
      </c>
      <c r="G176" s="258" t="s">
        <v>94</v>
      </c>
      <c r="H176" s="258" t="s">
        <v>95</v>
      </c>
      <c r="I176" s="274" t="s">
        <v>155</v>
      </c>
      <c r="J176" s="260" t="s">
        <v>156</v>
      </c>
      <c r="K176" s="264" t="s">
        <v>122</v>
      </c>
      <c r="L176" s="261" t="s">
        <v>107</v>
      </c>
      <c r="M176" s="207" t="s">
        <v>285</v>
      </c>
      <c r="N176" s="27" t="s">
        <v>123</v>
      </c>
      <c r="O176" s="30" t="e">
        <f t="shared" si="46"/>
        <v>#VALUE!</v>
      </c>
      <c r="Q176" s="11" t="e">
        <f t="shared" si="47"/>
        <v>#VALUE!</v>
      </c>
    </row>
    <row r="177" spans="1:17" ht="12.75">
      <c r="A177" s="54">
        <v>430000</v>
      </c>
      <c r="B177" s="55" t="s">
        <v>134</v>
      </c>
      <c r="C177" s="31">
        <f t="shared" si="44"/>
        <v>484663.0999999999</v>
      </c>
      <c r="D177" s="23">
        <f aca="true" t="shared" si="53" ref="D177:L177">D178+D180+D182</f>
        <v>0</v>
      </c>
      <c r="E177" s="262">
        <f t="shared" si="53"/>
        <v>0</v>
      </c>
      <c r="F177" s="262">
        <f t="shared" si="53"/>
        <v>0</v>
      </c>
      <c r="G177" s="262">
        <f t="shared" si="53"/>
        <v>484663.0999999999</v>
      </c>
      <c r="H177" s="262">
        <f t="shared" si="53"/>
        <v>0</v>
      </c>
      <c r="I177" s="262">
        <f t="shared" si="53"/>
        <v>0</v>
      </c>
      <c r="J177" s="262">
        <f t="shared" si="53"/>
        <v>0</v>
      </c>
      <c r="K177" s="262">
        <f t="shared" si="53"/>
        <v>0</v>
      </c>
      <c r="L177" s="238">
        <f t="shared" si="53"/>
        <v>0</v>
      </c>
      <c r="M177" s="24">
        <v>485000</v>
      </c>
      <c r="N177" s="24">
        <v>0</v>
      </c>
      <c r="O177" s="30">
        <f t="shared" si="46"/>
        <v>0.08551628808772588</v>
      </c>
      <c r="Q177" s="11">
        <f t="shared" si="47"/>
        <v>0</v>
      </c>
    </row>
    <row r="178" spans="1:17" ht="12.75">
      <c r="A178" s="12"/>
      <c r="B178" s="28" t="s">
        <v>39</v>
      </c>
      <c r="C178" s="31">
        <f t="shared" si="44"/>
        <v>72058.4</v>
      </c>
      <c r="D178" s="9">
        <f aca="true" t="shared" si="54" ref="D178:L178">SUM(D175)</f>
        <v>0</v>
      </c>
      <c r="E178" s="243">
        <f t="shared" si="54"/>
        <v>0</v>
      </c>
      <c r="F178" s="243">
        <f t="shared" si="54"/>
        <v>0</v>
      </c>
      <c r="G178" s="243">
        <v>72058.4</v>
      </c>
      <c r="H178" s="243">
        <f t="shared" si="54"/>
        <v>0</v>
      </c>
      <c r="I178" s="243">
        <f t="shared" si="54"/>
        <v>0</v>
      </c>
      <c r="J178" s="243"/>
      <c r="K178" s="243">
        <f t="shared" si="54"/>
        <v>0</v>
      </c>
      <c r="L178" s="244">
        <f t="shared" si="54"/>
        <v>0</v>
      </c>
      <c r="M178" s="14"/>
      <c r="N178" s="3"/>
      <c r="O178" s="30">
        <f t="shared" si="46"/>
        <v>0.012714330621705235</v>
      </c>
      <c r="Q178" s="11">
        <f t="shared" si="47"/>
        <v>0</v>
      </c>
    </row>
    <row r="179" spans="1:17" ht="12.75" hidden="1">
      <c r="A179" s="26"/>
      <c r="B179" s="48" t="s">
        <v>40</v>
      </c>
      <c r="C179" s="31">
        <f t="shared" si="44"/>
        <v>0</v>
      </c>
      <c r="D179" s="15"/>
      <c r="E179" s="245"/>
      <c r="F179" s="245"/>
      <c r="G179" s="245"/>
      <c r="H179" s="245"/>
      <c r="I179" s="224"/>
      <c r="J179" s="224"/>
      <c r="K179" s="224"/>
      <c r="L179" s="224"/>
      <c r="M179" s="14"/>
      <c r="N179" s="3"/>
      <c r="O179" s="30">
        <f t="shared" si="46"/>
        <v>0</v>
      </c>
      <c r="Q179" s="11">
        <f t="shared" si="47"/>
        <v>0</v>
      </c>
    </row>
    <row r="180" spans="1:17" ht="12.75">
      <c r="A180" s="12"/>
      <c r="B180" s="28" t="s">
        <v>40</v>
      </c>
      <c r="C180" s="31">
        <f t="shared" si="44"/>
        <v>407433.91</v>
      </c>
      <c r="D180" s="9">
        <f aca="true" t="shared" si="55" ref="D180:L180">SUM(D179)</f>
        <v>0</v>
      </c>
      <c r="E180" s="243">
        <f t="shared" si="55"/>
        <v>0</v>
      </c>
      <c r="F180" s="243">
        <f t="shared" si="55"/>
        <v>0</v>
      </c>
      <c r="G180" s="243">
        <f>404210.5+3223.41</f>
        <v>407433.91</v>
      </c>
      <c r="H180" s="243">
        <f t="shared" si="55"/>
        <v>0</v>
      </c>
      <c r="I180" s="243">
        <f t="shared" si="55"/>
        <v>0</v>
      </c>
      <c r="J180" s="243"/>
      <c r="K180" s="243">
        <f t="shared" si="55"/>
        <v>0</v>
      </c>
      <c r="L180" s="244">
        <f t="shared" si="55"/>
        <v>0</v>
      </c>
      <c r="M180" s="14"/>
      <c r="N180" s="3"/>
      <c r="O180" s="30">
        <f t="shared" si="46"/>
        <v>0.07188959841231689</v>
      </c>
      <c r="Q180" s="11">
        <f t="shared" si="47"/>
        <v>0</v>
      </c>
    </row>
    <row r="181" spans="1:17" ht="12.75" hidden="1">
      <c r="A181" s="20"/>
      <c r="B181" s="62" t="s">
        <v>110</v>
      </c>
      <c r="C181" s="31">
        <f t="shared" si="44"/>
        <v>0</v>
      </c>
      <c r="D181" s="9"/>
      <c r="E181" s="243"/>
      <c r="F181" s="243"/>
      <c r="G181" s="245"/>
      <c r="H181" s="243"/>
      <c r="I181" s="244"/>
      <c r="J181" s="244"/>
      <c r="K181" s="244"/>
      <c r="L181" s="224"/>
      <c r="M181" s="14"/>
      <c r="N181" s="3"/>
      <c r="O181" s="30">
        <f t="shared" si="46"/>
        <v>0</v>
      </c>
      <c r="Q181" s="11">
        <f t="shared" si="47"/>
        <v>0</v>
      </c>
    </row>
    <row r="182" spans="1:17" ht="12.75">
      <c r="A182" s="12"/>
      <c r="B182" s="28" t="s">
        <v>110</v>
      </c>
      <c r="C182" s="31">
        <f t="shared" si="44"/>
        <v>5170.79</v>
      </c>
      <c r="D182" s="9">
        <f aca="true" t="shared" si="56" ref="D182:L182">SUM(D181)</f>
        <v>0</v>
      </c>
      <c r="E182" s="243">
        <f t="shared" si="56"/>
        <v>0</v>
      </c>
      <c r="F182" s="243">
        <f t="shared" si="56"/>
        <v>0</v>
      </c>
      <c r="G182" s="243">
        <v>5170.79</v>
      </c>
      <c r="H182" s="243">
        <f t="shared" si="56"/>
        <v>0</v>
      </c>
      <c r="I182" s="243">
        <f t="shared" si="56"/>
        <v>0</v>
      </c>
      <c r="J182" s="243"/>
      <c r="K182" s="243">
        <f t="shared" si="56"/>
        <v>0</v>
      </c>
      <c r="L182" s="244">
        <f t="shared" si="56"/>
        <v>0</v>
      </c>
      <c r="M182" s="14"/>
      <c r="N182" s="3"/>
      <c r="O182" s="30">
        <f t="shared" si="46"/>
        <v>0.0009123590537037627</v>
      </c>
      <c r="Q182" s="11">
        <f t="shared" si="47"/>
        <v>0</v>
      </c>
    </row>
    <row r="183" spans="1:17" ht="23.25" thickBot="1">
      <c r="A183" s="54">
        <v>440000</v>
      </c>
      <c r="B183" s="55" t="s">
        <v>135</v>
      </c>
      <c r="C183" s="31">
        <f t="shared" si="44"/>
        <v>4927.42</v>
      </c>
      <c r="D183" s="9">
        <f aca="true" t="shared" si="57" ref="D183:L183">D185</f>
        <v>0</v>
      </c>
      <c r="E183" s="243">
        <f t="shared" si="57"/>
        <v>0</v>
      </c>
      <c r="F183" s="243">
        <f t="shared" si="57"/>
        <v>0</v>
      </c>
      <c r="G183" s="243">
        <v>4927.42</v>
      </c>
      <c r="H183" s="243">
        <f t="shared" si="57"/>
        <v>0</v>
      </c>
      <c r="I183" s="243">
        <f t="shared" si="57"/>
        <v>0</v>
      </c>
      <c r="J183" s="243">
        <f t="shared" si="57"/>
        <v>0</v>
      </c>
      <c r="K183" s="243">
        <f t="shared" si="57"/>
        <v>0</v>
      </c>
      <c r="L183" s="244">
        <f t="shared" si="57"/>
        <v>0</v>
      </c>
      <c r="M183" s="10">
        <v>5000</v>
      </c>
      <c r="N183" s="3">
        <f>C183*100/M183</f>
        <v>98.5484</v>
      </c>
      <c r="O183" s="30">
        <f t="shared" si="46"/>
        <v>0.0008694176805480391</v>
      </c>
      <c r="Q183" s="11">
        <f t="shared" si="47"/>
        <v>0</v>
      </c>
    </row>
    <row r="184" spans="1:17" ht="13.5" hidden="1" thickBot="1">
      <c r="A184" s="26">
        <v>444211</v>
      </c>
      <c r="B184" s="48" t="s">
        <v>41</v>
      </c>
      <c r="C184" s="31">
        <f t="shared" si="44"/>
        <v>4555.7</v>
      </c>
      <c r="D184" s="15"/>
      <c r="E184" s="245"/>
      <c r="F184" s="245"/>
      <c r="G184" s="245">
        <v>4555.7</v>
      </c>
      <c r="H184" s="245"/>
      <c r="I184" s="224"/>
      <c r="J184" s="224"/>
      <c r="K184" s="224"/>
      <c r="L184" s="224"/>
      <c r="M184" s="14"/>
      <c r="N184" s="3" t="e">
        <f>C184*100/M184</f>
        <v>#DIV/0!</v>
      </c>
      <c r="O184" s="30">
        <f t="shared" si="46"/>
        <v>0.0008038296161627589</v>
      </c>
      <c r="Q184" s="11">
        <f t="shared" si="47"/>
        <v>0</v>
      </c>
    </row>
    <row r="185" spans="1:17" ht="13.5" hidden="1" thickBot="1">
      <c r="A185" s="12">
        <v>4442</v>
      </c>
      <c r="B185" s="28" t="s">
        <v>41</v>
      </c>
      <c r="C185" s="31">
        <f t="shared" si="44"/>
        <v>4555.7</v>
      </c>
      <c r="D185" s="9">
        <f aca="true" t="shared" si="58" ref="D185:L185">SUM(D184)</f>
        <v>0</v>
      </c>
      <c r="E185" s="243">
        <f>SUM(E184)</f>
        <v>0</v>
      </c>
      <c r="F185" s="243">
        <f t="shared" si="58"/>
        <v>0</v>
      </c>
      <c r="G185" s="243">
        <f t="shared" si="58"/>
        <v>4555.7</v>
      </c>
      <c r="H185" s="243">
        <f t="shared" si="58"/>
        <v>0</v>
      </c>
      <c r="I185" s="243">
        <f t="shared" si="58"/>
        <v>0</v>
      </c>
      <c r="J185" s="243"/>
      <c r="K185" s="243">
        <f t="shared" si="58"/>
        <v>0</v>
      </c>
      <c r="L185" s="244">
        <f t="shared" si="58"/>
        <v>0</v>
      </c>
      <c r="M185" s="14"/>
      <c r="N185" s="3" t="e">
        <f>C185*100/M185</f>
        <v>#DIV/0!</v>
      </c>
      <c r="O185" s="30">
        <f t="shared" si="46"/>
        <v>0.0008038296161627589</v>
      </c>
      <c r="Q185" s="11">
        <f t="shared" si="47"/>
        <v>0</v>
      </c>
    </row>
    <row r="186" spans="1:17" ht="34.5" thickBot="1">
      <c r="A186" s="74" t="s">
        <v>152</v>
      </c>
      <c r="B186" s="75" t="s">
        <v>136</v>
      </c>
      <c r="C186" s="31">
        <f t="shared" si="44"/>
        <v>1501769.42</v>
      </c>
      <c r="D186" s="76">
        <f aca="true" t="shared" si="59" ref="D186:L186">D187+D198+D201</f>
        <v>125999</v>
      </c>
      <c r="E186" s="276">
        <f t="shared" si="59"/>
        <v>0</v>
      </c>
      <c r="F186" s="276">
        <f t="shared" si="59"/>
        <v>0</v>
      </c>
      <c r="G186" s="276">
        <f t="shared" si="59"/>
        <v>1069770.42</v>
      </c>
      <c r="H186" s="276">
        <f t="shared" si="59"/>
        <v>0</v>
      </c>
      <c r="I186" s="276">
        <f t="shared" si="59"/>
        <v>0</v>
      </c>
      <c r="J186" s="276">
        <f t="shared" si="59"/>
        <v>0</v>
      </c>
      <c r="K186" s="276">
        <f t="shared" si="59"/>
        <v>0</v>
      </c>
      <c r="L186" s="277">
        <f t="shared" si="59"/>
        <v>306000</v>
      </c>
      <c r="M186" s="77">
        <f>M187+M198+M201</f>
        <v>1561000</v>
      </c>
      <c r="N186" s="3">
        <f>C186*100/M186</f>
        <v>96.205600256246</v>
      </c>
      <c r="O186" s="30">
        <f t="shared" si="46"/>
        <v>0.26497941840849243</v>
      </c>
      <c r="Q186" s="11">
        <f t="shared" si="47"/>
        <v>0</v>
      </c>
    </row>
    <row r="187" spans="1:17" ht="12.75">
      <c r="A187" s="78">
        <v>482000</v>
      </c>
      <c r="B187" s="79" t="s">
        <v>149</v>
      </c>
      <c r="C187" s="31">
        <f t="shared" si="44"/>
        <v>1125409.42</v>
      </c>
      <c r="D187" s="80">
        <f aca="true" t="shared" si="60" ref="D187:M187">D191+D194+D197</f>
        <v>125999</v>
      </c>
      <c r="E187" s="278">
        <f t="shared" si="60"/>
        <v>0</v>
      </c>
      <c r="F187" s="278">
        <f t="shared" si="60"/>
        <v>0</v>
      </c>
      <c r="G187" s="279">
        <f t="shared" si="60"/>
        <v>999410.42</v>
      </c>
      <c r="H187" s="278">
        <f t="shared" si="60"/>
        <v>0</v>
      </c>
      <c r="I187" s="278">
        <f t="shared" si="60"/>
        <v>0</v>
      </c>
      <c r="J187" s="278">
        <f t="shared" si="60"/>
        <v>0</v>
      </c>
      <c r="K187" s="278">
        <f t="shared" si="60"/>
        <v>0</v>
      </c>
      <c r="L187" s="280">
        <f t="shared" si="60"/>
        <v>0</v>
      </c>
      <c r="M187" s="81">
        <f t="shared" si="60"/>
        <v>1185000</v>
      </c>
      <c r="N187" s="81"/>
      <c r="O187" s="30">
        <f t="shared" si="46"/>
        <v>0.19857265010965452</v>
      </c>
      <c r="Q187" s="11">
        <f t="shared" si="47"/>
        <v>-1.1641532182693481E-10</v>
      </c>
    </row>
    <row r="188" spans="1:17" ht="12.75" hidden="1">
      <c r="A188" s="20">
        <v>482111</v>
      </c>
      <c r="B188" s="62" t="s">
        <v>208</v>
      </c>
      <c r="C188" s="31">
        <f t="shared" si="44"/>
        <v>0</v>
      </c>
      <c r="D188" s="63"/>
      <c r="E188" s="241"/>
      <c r="F188" s="241"/>
      <c r="G188" s="241"/>
      <c r="H188" s="241"/>
      <c r="I188" s="270"/>
      <c r="J188" s="270"/>
      <c r="K188" s="270"/>
      <c r="L188" s="270"/>
      <c r="M188" s="14"/>
      <c r="N188" s="3"/>
      <c r="O188" s="30">
        <f t="shared" si="46"/>
        <v>0</v>
      </c>
      <c r="Q188" s="11">
        <f t="shared" si="47"/>
        <v>0</v>
      </c>
    </row>
    <row r="189" spans="1:17" ht="12.75" hidden="1">
      <c r="A189" s="20">
        <v>482131</v>
      </c>
      <c r="B189" s="62" t="s">
        <v>42</v>
      </c>
      <c r="C189" s="31">
        <f t="shared" si="44"/>
        <v>81878</v>
      </c>
      <c r="D189" s="63">
        <v>81878</v>
      </c>
      <c r="E189" s="241"/>
      <c r="F189" s="241"/>
      <c r="G189" s="241"/>
      <c r="H189" s="241"/>
      <c r="I189" s="270"/>
      <c r="J189" s="270"/>
      <c r="K189" s="270"/>
      <c r="L189" s="270"/>
      <c r="M189" s="14"/>
      <c r="N189" s="3"/>
      <c r="O189" s="30">
        <f t="shared" si="46"/>
        <v>0.014446948067733691</v>
      </c>
      <c r="Q189" s="11">
        <f t="shared" si="47"/>
        <v>0</v>
      </c>
    </row>
    <row r="190" spans="1:17" ht="12.75" hidden="1">
      <c r="A190" s="26">
        <v>482191</v>
      </c>
      <c r="B190" s="48" t="s">
        <v>43</v>
      </c>
      <c r="C190" s="31">
        <f t="shared" si="44"/>
        <v>0</v>
      </c>
      <c r="D190" s="15"/>
      <c r="E190" s="245"/>
      <c r="F190" s="245"/>
      <c r="G190" s="245"/>
      <c r="H190" s="245"/>
      <c r="I190" s="224"/>
      <c r="J190" s="224"/>
      <c r="K190" s="224"/>
      <c r="L190" s="224"/>
      <c r="M190" s="14"/>
      <c r="N190" s="3"/>
      <c r="O190" s="30">
        <f t="shared" si="46"/>
        <v>0</v>
      </c>
      <c r="Q190" s="11">
        <f t="shared" si="47"/>
        <v>0</v>
      </c>
    </row>
    <row r="191" spans="1:17" ht="12.75">
      <c r="A191" s="12">
        <v>482100</v>
      </c>
      <c r="B191" s="28" t="s">
        <v>43</v>
      </c>
      <c r="C191" s="31">
        <f t="shared" si="44"/>
        <v>129749</v>
      </c>
      <c r="D191" s="9">
        <v>125999</v>
      </c>
      <c r="E191" s="243">
        <f aca="true" t="shared" si="61" ref="E191:L191">SUM(E188:E190)</f>
        <v>0</v>
      </c>
      <c r="F191" s="243">
        <f t="shared" si="61"/>
        <v>0</v>
      </c>
      <c r="G191" s="243">
        <v>3750</v>
      </c>
      <c r="H191" s="243">
        <f t="shared" si="61"/>
        <v>0</v>
      </c>
      <c r="I191" s="243">
        <f t="shared" si="61"/>
        <v>0</v>
      </c>
      <c r="J191" s="243"/>
      <c r="K191" s="243">
        <f t="shared" si="61"/>
        <v>0</v>
      </c>
      <c r="L191" s="244">
        <f t="shared" si="61"/>
        <v>0</v>
      </c>
      <c r="M191" s="14">
        <v>185000</v>
      </c>
      <c r="N191" s="3"/>
      <c r="O191" s="30">
        <f t="shared" si="46"/>
        <v>0.022893537517286434</v>
      </c>
      <c r="Q191" s="11">
        <f t="shared" si="47"/>
        <v>0</v>
      </c>
    </row>
    <row r="192" spans="1:17" ht="12.75">
      <c r="A192" s="26">
        <v>482211</v>
      </c>
      <c r="B192" s="48" t="s">
        <v>44</v>
      </c>
      <c r="C192" s="31">
        <f t="shared" si="44"/>
        <v>33175.02</v>
      </c>
      <c r="D192" s="15"/>
      <c r="E192" s="245"/>
      <c r="F192" s="245"/>
      <c r="G192" s="245">
        <v>33175.02</v>
      </c>
      <c r="H192" s="245"/>
      <c r="I192" s="224"/>
      <c r="J192" s="224"/>
      <c r="K192" s="224"/>
      <c r="L192" s="224"/>
      <c r="M192" s="14"/>
      <c r="N192" s="3"/>
      <c r="O192" s="30">
        <f t="shared" si="46"/>
        <v>0.005853560066025385</v>
      </c>
      <c r="Q192" s="11">
        <f t="shared" si="47"/>
        <v>0</v>
      </c>
    </row>
    <row r="193" spans="1:17" ht="12.75">
      <c r="A193" s="26">
        <v>482251</v>
      </c>
      <c r="B193" s="48" t="s">
        <v>45</v>
      </c>
      <c r="C193" s="31">
        <f t="shared" si="44"/>
        <v>813605</v>
      </c>
      <c r="D193" s="15"/>
      <c r="E193" s="245"/>
      <c r="F193" s="245"/>
      <c r="G193" s="245">
        <v>813605</v>
      </c>
      <c r="H193" s="245"/>
      <c r="I193" s="224"/>
      <c r="J193" s="224"/>
      <c r="K193" s="224"/>
      <c r="L193" s="224"/>
      <c r="M193" s="14"/>
      <c r="N193" s="3"/>
      <c r="O193" s="30">
        <f t="shared" si="46"/>
        <v>0.14355637879098743</v>
      </c>
      <c r="Q193" s="11">
        <f t="shared" si="47"/>
        <v>0</v>
      </c>
    </row>
    <row r="194" spans="1:17" ht="12.75">
      <c r="A194" s="12">
        <v>482200</v>
      </c>
      <c r="B194" s="28" t="s">
        <v>46</v>
      </c>
      <c r="C194" s="31">
        <f t="shared" si="44"/>
        <v>846780.02</v>
      </c>
      <c r="D194" s="9">
        <f aca="true" t="shared" si="62" ref="D194:L194">SUM(D192:D193)</f>
        <v>0</v>
      </c>
      <c r="E194" s="243">
        <f t="shared" si="62"/>
        <v>0</v>
      </c>
      <c r="F194" s="243">
        <f t="shared" si="62"/>
        <v>0</v>
      </c>
      <c r="G194" s="243">
        <f t="shared" si="62"/>
        <v>846780.02</v>
      </c>
      <c r="H194" s="243">
        <f t="shared" si="62"/>
        <v>0</v>
      </c>
      <c r="I194" s="243">
        <f t="shared" si="62"/>
        <v>0</v>
      </c>
      <c r="J194" s="243"/>
      <c r="K194" s="243">
        <f t="shared" si="62"/>
        <v>0</v>
      </c>
      <c r="L194" s="244">
        <f t="shared" si="62"/>
        <v>0</v>
      </c>
      <c r="M194" s="14">
        <v>850000</v>
      </c>
      <c r="N194" s="3"/>
      <c r="O194" s="30">
        <f t="shared" si="46"/>
        <v>0.14940993885701281</v>
      </c>
      <c r="Q194" s="11">
        <f t="shared" si="47"/>
        <v>0</v>
      </c>
    </row>
    <row r="195" spans="1:17" ht="12.75">
      <c r="A195" s="20">
        <v>482311</v>
      </c>
      <c r="B195" s="82" t="s">
        <v>115</v>
      </c>
      <c r="C195" s="31">
        <f t="shared" si="44"/>
        <v>137550.4</v>
      </c>
      <c r="D195" s="69"/>
      <c r="E195" s="271"/>
      <c r="F195" s="271"/>
      <c r="G195" s="271">
        <v>137550.4</v>
      </c>
      <c r="H195" s="271"/>
      <c r="I195" s="272"/>
      <c r="J195" s="272"/>
      <c r="K195" s="224"/>
      <c r="L195" s="224"/>
      <c r="M195" s="14"/>
      <c r="N195" s="3"/>
      <c r="O195" s="30">
        <f t="shared" si="46"/>
        <v>0.02427005404987904</v>
      </c>
      <c r="Q195" s="11">
        <f t="shared" si="47"/>
        <v>0</v>
      </c>
    </row>
    <row r="196" spans="1:17" ht="12.75">
      <c r="A196" s="20">
        <v>482331</v>
      </c>
      <c r="B196" s="82" t="s">
        <v>273</v>
      </c>
      <c r="C196" s="31">
        <f t="shared" si="44"/>
        <v>11330</v>
      </c>
      <c r="D196" s="69"/>
      <c r="E196" s="271"/>
      <c r="F196" s="271"/>
      <c r="G196" s="271">
        <v>11330</v>
      </c>
      <c r="H196" s="271"/>
      <c r="I196" s="272"/>
      <c r="J196" s="272"/>
      <c r="K196" s="272"/>
      <c r="L196" s="272"/>
      <c r="M196" s="14"/>
      <c r="N196" s="3"/>
      <c r="O196" s="30">
        <f t="shared" si="46"/>
        <v>0.0019991196854762293</v>
      </c>
      <c r="Q196" s="11">
        <f t="shared" si="47"/>
        <v>0</v>
      </c>
    </row>
    <row r="197" spans="1:17" ht="12.75">
      <c r="A197" s="12">
        <v>482300</v>
      </c>
      <c r="B197" s="83" t="s">
        <v>116</v>
      </c>
      <c r="C197" s="31">
        <f t="shared" si="44"/>
        <v>148880.4</v>
      </c>
      <c r="D197" s="84">
        <f aca="true" t="shared" si="63" ref="D197:L197">SUM(D195:D196)</f>
        <v>0</v>
      </c>
      <c r="E197" s="281">
        <f t="shared" si="63"/>
        <v>0</v>
      </c>
      <c r="F197" s="281">
        <f t="shared" si="63"/>
        <v>0</v>
      </c>
      <c r="G197" s="281">
        <f t="shared" si="63"/>
        <v>148880.4</v>
      </c>
      <c r="H197" s="281">
        <f t="shared" si="63"/>
        <v>0</v>
      </c>
      <c r="I197" s="281">
        <f t="shared" si="63"/>
        <v>0</v>
      </c>
      <c r="J197" s="281">
        <f t="shared" si="63"/>
        <v>0</v>
      </c>
      <c r="K197" s="281">
        <f t="shared" si="63"/>
        <v>0</v>
      </c>
      <c r="L197" s="281">
        <f t="shared" si="63"/>
        <v>0</v>
      </c>
      <c r="M197" s="14">
        <v>150000</v>
      </c>
      <c r="N197" s="3"/>
      <c r="O197" s="30">
        <f t="shared" si="46"/>
        <v>0.026269173735355273</v>
      </c>
      <c r="Q197" s="11">
        <f t="shared" si="47"/>
        <v>0</v>
      </c>
    </row>
    <row r="198" spans="1:17" ht="22.5">
      <c r="A198" s="4">
        <v>483000</v>
      </c>
      <c r="B198" s="65" t="s">
        <v>92</v>
      </c>
      <c r="C198" s="31">
        <f t="shared" si="44"/>
        <v>376360</v>
      </c>
      <c r="D198" s="85">
        <f aca="true" t="shared" si="64" ref="D198:M198">D200</f>
        <v>0</v>
      </c>
      <c r="E198" s="282">
        <f t="shared" si="64"/>
        <v>0</v>
      </c>
      <c r="F198" s="282">
        <f t="shared" si="64"/>
        <v>0</v>
      </c>
      <c r="G198" s="282">
        <f t="shared" si="64"/>
        <v>70360</v>
      </c>
      <c r="H198" s="282">
        <f t="shared" si="64"/>
        <v>0</v>
      </c>
      <c r="I198" s="282">
        <f t="shared" si="64"/>
        <v>0</v>
      </c>
      <c r="J198" s="282">
        <f t="shared" si="64"/>
        <v>0</v>
      </c>
      <c r="K198" s="282">
        <f t="shared" si="64"/>
        <v>0</v>
      </c>
      <c r="L198" s="283">
        <f t="shared" si="64"/>
        <v>306000</v>
      </c>
      <c r="M198" s="86">
        <f t="shared" si="64"/>
        <v>376000</v>
      </c>
      <c r="N198" s="86"/>
      <c r="O198" s="30">
        <f t="shared" si="46"/>
        <v>0.06640676829883793</v>
      </c>
      <c r="Q198" s="11">
        <f t="shared" si="47"/>
        <v>0</v>
      </c>
    </row>
    <row r="199" spans="1:17" ht="12.75" hidden="1">
      <c r="A199" s="20">
        <v>483111</v>
      </c>
      <c r="B199" s="82" t="s">
        <v>92</v>
      </c>
      <c r="C199" s="31">
        <f t="shared" si="44"/>
        <v>0</v>
      </c>
      <c r="D199" s="69"/>
      <c r="E199" s="271"/>
      <c r="F199" s="271"/>
      <c r="G199" s="271"/>
      <c r="H199" s="271"/>
      <c r="I199" s="272"/>
      <c r="J199" s="272"/>
      <c r="K199" s="224"/>
      <c r="L199" s="224"/>
      <c r="M199" s="14"/>
      <c r="N199" s="3"/>
      <c r="O199" s="30">
        <f t="shared" si="46"/>
        <v>0</v>
      </c>
      <c r="Q199" s="11">
        <f t="shared" si="47"/>
        <v>0</v>
      </c>
    </row>
    <row r="200" spans="1:17" ht="12.75">
      <c r="A200" s="87">
        <v>483100</v>
      </c>
      <c r="B200" s="83" t="s">
        <v>92</v>
      </c>
      <c r="C200" s="31">
        <f t="shared" si="44"/>
        <v>376360</v>
      </c>
      <c r="D200" s="85">
        <v>0</v>
      </c>
      <c r="E200" s="282">
        <f aca="true" t="shared" si="65" ref="E200:K200">SUM(E199)</f>
        <v>0</v>
      </c>
      <c r="F200" s="282">
        <f t="shared" si="65"/>
        <v>0</v>
      </c>
      <c r="G200" s="282">
        <v>70360</v>
      </c>
      <c r="H200" s="282">
        <f t="shared" si="65"/>
        <v>0</v>
      </c>
      <c r="I200" s="282">
        <f t="shared" si="65"/>
        <v>0</v>
      </c>
      <c r="J200" s="282"/>
      <c r="K200" s="282">
        <f t="shared" si="65"/>
        <v>0</v>
      </c>
      <c r="L200" s="283">
        <v>306000</v>
      </c>
      <c r="M200" s="14">
        <v>376000</v>
      </c>
      <c r="N200" s="3"/>
      <c r="O200" s="30">
        <f t="shared" si="46"/>
        <v>0.06640676829883793</v>
      </c>
      <c r="Q200" s="11">
        <f t="shared" si="47"/>
        <v>0</v>
      </c>
    </row>
    <row r="201" spans="1:17" ht="12.75">
      <c r="A201" s="4">
        <v>485000</v>
      </c>
      <c r="B201" s="88" t="s">
        <v>148</v>
      </c>
      <c r="C201" s="31">
        <f t="shared" si="44"/>
        <v>0</v>
      </c>
      <c r="D201" s="85">
        <f aca="true" t="shared" si="66" ref="D201:M201">D203</f>
        <v>0</v>
      </c>
      <c r="E201" s="282">
        <f t="shared" si="66"/>
        <v>0</v>
      </c>
      <c r="F201" s="282">
        <f t="shared" si="66"/>
        <v>0</v>
      </c>
      <c r="G201" s="282">
        <f t="shared" si="66"/>
        <v>0</v>
      </c>
      <c r="H201" s="282">
        <f t="shared" si="66"/>
        <v>0</v>
      </c>
      <c r="I201" s="282">
        <f t="shared" si="66"/>
        <v>0</v>
      </c>
      <c r="J201" s="282">
        <f t="shared" si="66"/>
        <v>0</v>
      </c>
      <c r="K201" s="282">
        <f t="shared" si="66"/>
        <v>0</v>
      </c>
      <c r="L201" s="283">
        <f t="shared" si="66"/>
        <v>0</v>
      </c>
      <c r="M201" s="86">
        <f t="shared" si="66"/>
        <v>0</v>
      </c>
      <c r="N201" s="86"/>
      <c r="O201" s="30">
        <f t="shared" si="46"/>
        <v>0</v>
      </c>
      <c r="Q201" s="11">
        <f t="shared" si="47"/>
        <v>0</v>
      </c>
    </row>
    <row r="202" spans="1:17" ht="12.75" hidden="1">
      <c r="A202" s="20">
        <v>485119</v>
      </c>
      <c r="B202" s="62" t="s">
        <v>121</v>
      </c>
      <c r="C202" s="31">
        <f t="shared" si="44"/>
        <v>0</v>
      </c>
      <c r="D202" s="15"/>
      <c r="E202" s="245"/>
      <c r="F202" s="245"/>
      <c r="G202" s="245"/>
      <c r="H202" s="245"/>
      <c r="I202" s="245"/>
      <c r="J202" s="245"/>
      <c r="K202" s="245"/>
      <c r="L202" s="224"/>
      <c r="M202" s="14"/>
      <c r="N202" s="3"/>
      <c r="O202" s="30">
        <f t="shared" si="46"/>
        <v>0</v>
      </c>
      <c r="Q202" s="11">
        <f t="shared" si="47"/>
        <v>0</v>
      </c>
    </row>
    <row r="203" spans="1:17" ht="12.75">
      <c r="A203" s="12">
        <v>485100</v>
      </c>
      <c r="B203" s="28" t="s">
        <v>121</v>
      </c>
      <c r="C203" s="31">
        <f t="shared" si="44"/>
        <v>0</v>
      </c>
      <c r="D203" s="9">
        <f aca="true" t="shared" si="67" ref="D203:L203">SUM(D202)</f>
        <v>0</v>
      </c>
      <c r="E203" s="243">
        <f t="shared" si="67"/>
        <v>0</v>
      </c>
      <c r="F203" s="243">
        <f t="shared" si="67"/>
        <v>0</v>
      </c>
      <c r="G203" s="243">
        <f t="shared" si="67"/>
        <v>0</v>
      </c>
      <c r="H203" s="243">
        <f t="shared" si="67"/>
        <v>0</v>
      </c>
      <c r="I203" s="243">
        <f t="shared" si="67"/>
        <v>0</v>
      </c>
      <c r="J203" s="243"/>
      <c r="K203" s="243">
        <f t="shared" si="67"/>
        <v>0</v>
      </c>
      <c r="L203" s="244">
        <f t="shared" si="67"/>
        <v>0</v>
      </c>
      <c r="M203" s="14">
        <v>0</v>
      </c>
      <c r="N203" s="3"/>
      <c r="O203" s="30">
        <f t="shared" si="46"/>
        <v>0</v>
      </c>
      <c r="Q203" s="11">
        <f t="shared" si="47"/>
        <v>0</v>
      </c>
    </row>
    <row r="204" spans="1:17" ht="13.5" thickBot="1">
      <c r="A204" s="26"/>
      <c r="B204" s="12" t="s">
        <v>209</v>
      </c>
      <c r="C204" s="31">
        <f t="shared" si="44"/>
        <v>566749458.8900001</v>
      </c>
      <c r="D204" s="89">
        <f aca="true" t="shared" si="68" ref="D204:L204">D22+D25+D26+D38+D41+D42+D70+D79+D104+D114+D139+D177+D183+D186</f>
        <v>492916771.6</v>
      </c>
      <c r="E204" s="284">
        <f t="shared" si="68"/>
        <v>5267050</v>
      </c>
      <c r="F204" s="284">
        <f t="shared" si="68"/>
        <v>59596</v>
      </c>
      <c r="G204" s="284">
        <f t="shared" si="68"/>
        <v>35576991.760000005</v>
      </c>
      <c r="H204" s="284">
        <f t="shared" si="68"/>
        <v>1206767.47</v>
      </c>
      <c r="I204" s="284">
        <f t="shared" si="68"/>
        <v>436249.2</v>
      </c>
      <c r="J204" s="284">
        <f t="shared" si="68"/>
        <v>23995788.169999998</v>
      </c>
      <c r="K204" s="284">
        <f t="shared" si="68"/>
        <v>19095.6</v>
      </c>
      <c r="L204" s="284">
        <f t="shared" si="68"/>
        <v>7271149.09</v>
      </c>
      <c r="M204" s="90">
        <f>M22+M25+M26+M38+M41+M42+M70+M79+M104+M114+M139+M177+M183+M186+M29</f>
        <v>586618888.1800001</v>
      </c>
      <c r="N204" s="34">
        <f>C204*100/M204</f>
        <v>96.61288961362199</v>
      </c>
      <c r="O204" s="30">
        <f t="shared" si="46"/>
        <v>100.00000000000001</v>
      </c>
      <c r="Q204" s="11">
        <f t="shared" si="47"/>
        <v>8.009374141693115E-08</v>
      </c>
    </row>
    <row r="205" spans="1:17" ht="12.75">
      <c r="A205" s="71"/>
      <c r="B205" s="71"/>
      <c r="C205" s="91"/>
      <c r="D205" s="91"/>
      <c r="E205" s="91"/>
      <c r="F205" s="91"/>
      <c r="G205" s="91"/>
      <c r="H205" s="173"/>
      <c r="I205" s="91"/>
      <c r="J205" s="91"/>
      <c r="K205" s="91"/>
      <c r="L205" s="91">
        <v>0</v>
      </c>
      <c r="M205" s="92"/>
      <c r="N205" s="93"/>
      <c r="O205" s="93"/>
      <c r="Q205" s="11">
        <f t="shared" si="47"/>
        <v>0</v>
      </c>
    </row>
    <row r="206" spans="1:17" ht="12.75">
      <c r="A206" s="71"/>
      <c r="B206" s="94"/>
      <c r="C206" s="91"/>
      <c r="D206" s="91"/>
      <c r="E206" s="91"/>
      <c r="F206" s="91"/>
      <c r="G206" s="91"/>
      <c r="H206" s="173"/>
      <c r="I206" s="91"/>
      <c r="J206" s="91"/>
      <c r="K206" s="91"/>
      <c r="L206" s="91"/>
      <c r="M206" s="91"/>
      <c r="N206" s="91"/>
      <c r="O206" s="91"/>
      <c r="Q206" s="11">
        <f t="shared" si="47"/>
        <v>0</v>
      </c>
    </row>
    <row r="207" spans="1:17" ht="12.75">
      <c r="A207" s="71"/>
      <c r="B207" s="71"/>
      <c r="C207" s="91"/>
      <c r="D207" s="91"/>
      <c r="E207" s="91"/>
      <c r="F207" s="91"/>
      <c r="G207" s="91"/>
      <c r="H207" s="173"/>
      <c r="I207" s="91"/>
      <c r="J207" s="91"/>
      <c r="K207" s="91"/>
      <c r="L207" s="71"/>
      <c r="M207" s="92"/>
      <c r="N207" s="93"/>
      <c r="O207" s="93"/>
      <c r="Q207" s="11">
        <f t="shared" si="47"/>
        <v>0</v>
      </c>
    </row>
    <row r="208" spans="1:17" ht="12.75">
      <c r="A208" s="71"/>
      <c r="B208" s="71"/>
      <c r="C208" s="95"/>
      <c r="D208" s="95"/>
      <c r="E208" s="95"/>
      <c r="F208" s="95"/>
      <c r="G208" s="95"/>
      <c r="H208" s="174"/>
      <c r="I208" s="95"/>
      <c r="J208" s="95"/>
      <c r="K208" s="95"/>
      <c r="L208" s="95"/>
      <c r="M208" s="92"/>
      <c r="N208" s="93"/>
      <c r="O208" s="93"/>
      <c r="Q208" s="11">
        <f t="shared" si="47"/>
        <v>0</v>
      </c>
    </row>
    <row r="209" spans="1:17" ht="12.75">
      <c r="A209" s="71"/>
      <c r="B209" s="71"/>
      <c r="C209" s="95"/>
      <c r="D209" s="95"/>
      <c r="E209" s="95"/>
      <c r="F209" s="95"/>
      <c r="G209" s="95"/>
      <c r="H209" s="174"/>
      <c r="I209" s="95"/>
      <c r="J209" s="95"/>
      <c r="K209" s="95"/>
      <c r="L209" s="96"/>
      <c r="M209" s="92"/>
      <c r="N209" s="93"/>
      <c r="O209" s="93"/>
      <c r="Q209" s="11">
        <f t="shared" si="47"/>
        <v>0</v>
      </c>
    </row>
    <row r="210" spans="1:17" ht="12.75">
      <c r="A210" s="71"/>
      <c r="B210" s="71"/>
      <c r="C210" s="95"/>
      <c r="D210" s="95"/>
      <c r="E210" s="95"/>
      <c r="F210" s="95"/>
      <c r="G210" s="95"/>
      <c r="H210" s="174"/>
      <c r="I210" s="95"/>
      <c r="J210" s="95"/>
      <c r="K210" s="95"/>
      <c r="L210" s="96"/>
      <c r="M210" s="92"/>
      <c r="N210" s="93"/>
      <c r="O210" s="93"/>
      <c r="Q210" s="11">
        <f t="shared" si="47"/>
        <v>0</v>
      </c>
    </row>
    <row r="211" spans="1:17" ht="13.5" thickBot="1">
      <c r="A211" s="97" t="s">
        <v>127</v>
      </c>
      <c r="C211" s="95"/>
      <c r="D211" s="95"/>
      <c r="E211" s="95"/>
      <c r="F211" s="95"/>
      <c r="G211" s="95"/>
      <c r="H211" s="174"/>
      <c r="I211" s="95"/>
      <c r="J211" s="95"/>
      <c r="K211" s="95"/>
      <c r="L211" s="96"/>
      <c r="M211" s="92"/>
      <c r="N211" s="93"/>
      <c r="O211" s="93"/>
      <c r="Q211" s="11">
        <f t="shared" si="47"/>
        <v>0</v>
      </c>
    </row>
    <row r="212" spans="1:17" ht="45.75" thickBot="1">
      <c r="A212" s="98" t="s">
        <v>0</v>
      </c>
      <c r="B212" s="99" t="s">
        <v>1</v>
      </c>
      <c r="C212" s="100" t="s">
        <v>2</v>
      </c>
      <c r="D212" s="101" t="s">
        <v>153</v>
      </c>
      <c r="E212" s="102" t="s">
        <v>210</v>
      </c>
      <c r="F212" s="39" t="s">
        <v>284</v>
      </c>
      <c r="G212" s="103" t="s">
        <v>211</v>
      </c>
      <c r="H212" s="175" t="s">
        <v>212</v>
      </c>
      <c r="I212" s="56" t="s">
        <v>213</v>
      </c>
      <c r="J212" s="40" t="s">
        <v>156</v>
      </c>
      <c r="K212" s="104" t="s">
        <v>122</v>
      </c>
      <c r="L212" s="42" t="s">
        <v>107</v>
      </c>
      <c r="M212" s="207" t="s">
        <v>285</v>
      </c>
      <c r="N212" s="7" t="s">
        <v>123</v>
      </c>
      <c r="O212" s="7" t="s">
        <v>141</v>
      </c>
      <c r="Q212" s="11" t="e">
        <f t="shared" si="47"/>
        <v>#VALUE!</v>
      </c>
    </row>
    <row r="213" spans="1:17" ht="23.25" hidden="1" thickBot="1">
      <c r="A213" s="105">
        <v>511322</v>
      </c>
      <c r="B213" s="106" t="s">
        <v>214</v>
      </c>
      <c r="C213" s="107">
        <v>0</v>
      </c>
      <c r="D213" s="108">
        <v>0</v>
      </c>
      <c r="E213" s="109">
        <v>0</v>
      </c>
      <c r="F213" s="109">
        <v>0</v>
      </c>
      <c r="G213" s="108">
        <v>0</v>
      </c>
      <c r="H213" s="176">
        <v>0</v>
      </c>
      <c r="I213" s="110">
        <v>0</v>
      </c>
      <c r="J213" s="110"/>
      <c r="K213" s="111">
        <v>0</v>
      </c>
      <c r="L213" s="16">
        <v>0</v>
      </c>
      <c r="M213" s="45"/>
      <c r="N213" s="46"/>
      <c r="O213" s="47"/>
      <c r="Q213" s="11">
        <f t="shared" si="47"/>
        <v>0</v>
      </c>
    </row>
    <row r="214" spans="1:18" s="117" customFormat="1" ht="23.25" thickBot="1">
      <c r="A214" s="112">
        <v>511000</v>
      </c>
      <c r="B214" s="113" t="s">
        <v>215</v>
      </c>
      <c r="C214" s="114">
        <f>C215</f>
        <v>8940000</v>
      </c>
      <c r="D214" s="115">
        <f aca="true" t="shared" si="69" ref="D214:L214">D215</f>
        <v>0</v>
      </c>
      <c r="E214" s="115">
        <f t="shared" si="69"/>
        <v>0</v>
      </c>
      <c r="F214" s="115">
        <f t="shared" si="69"/>
        <v>0</v>
      </c>
      <c r="G214" s="115">
        <f t="shared" si="69"/>
        <v>0</v>
      </c>
      <c r="H214" s="177">
        <f t="shared" si="69"/>
        <v>0</v>
      </c>
      <c r="I214" s="115">
        <f t="shared" si="69"/>
        <v>0</v>
      </c>
      <c r="J214" s="115">
        <f t="shared" si="69"/>
        <v>0</v>
      </c>
      <c r="K214" s="115">
        <f t="shared" si="69"/>
        <v>0</v>
      </c>
      <c r="L214" s="115">
        <f t="shared" si="69"/>
        <v>8940000</v>
      </c>
      <c r="M214" s="255">
        <v>8940000</v>
      </c>
      <c r="N214" s="3">
        <f>C214*100/M214</f>
        <v>100</v>
      </c>
      <c r="O214" s="35">
        <f>C214*100/21145487.1</f>
        <v>42.27852476380173</v>
      </c>
      <c r="P214" s="8"/>
      <c r="Q214" s="11">
        <f t="shared" si="47"/>
        <v>0</v>
      </c>
      <c r="R214" s="116"/>
    </row>
    <row r="215" spans="1:17" ht="13.5" thickBot="1">
      <c r="A215" s="118">
        <v>511300</v>
      </c>
      <c r="B215" s="119" t="s">
        <v>215</v>
      </c>
      <c r="C215" s="120">
        <v>8940000</v>
      </c>
      <c r="D215" s="121"/>
      <c r="E215" s="122"/>
      <c r="F215" s="122"/>
      <c r="G215" s="121"/>
      <c r="H215" s="178"/>
      <c r="I215" s="123"/>
      <c r="J215" s="123"/>
      <c r="K215" s="21"/>
      <c r="L215" s="64">
        <v>8940000</v>
      </c>
      <c r="M215" s="13"/>
      <c r="N215" s="3"/>
      <c r="O215" s="35"/>
      <c r="Q215" s="11">
        <f aca="true" t="shared" si="70" ref="Q215:Q281">C215-D215-E215-F215-G215-H215-I215-J215-K215-L215</f>
        <v>0</v>
      </c>
    </row>
    <row r="216" spans="1:17" ht="13.5" thickBot="1">
      <c r="A216" s="250">
        <v>512000</v>
      </c>
      <c r="B216" s="251" t="s">
        <v>150</v>
      </c>
      <c r="C216" s="252">
        <f>C221+C231</f>
        <v>11831487.1</v>
      </c>
      <c r="D216" s="230">
        <f aca="true" t="shared" si="71" ref="D216:L216">D221+D231</f>
        <v>0</v>
      </c>
      <c r="E216" s="230">
        <f t="shared" si="71"/>
        <v>0</v>
      </c>
      <c r="F216" s="230">
        <f t="shared" si="71"/>
        <v>0</v>
      </c>
      <c r="G216" s="230">
        <f t="shared" si="71"/>
        <v>2025225.51</v>
      </c>
      <c r="H216" s="253">
        <f t="shared" si="71"/>
        <v>0</v>
      </c>
      <c r="I216" s="230">
        <f t="shared" si="71"/>
        <v>0</v>
      </c>
      <c r="J216" s="230">
        <f t="shared" si="71"/>
        <v>0</v>
      </c>
      <c r="K216" s="230">
        <f t="shared" si="71"/>
        <v>81400</v>
      </c>
      <c r="L216" s="230">
        <f t="shared" si="71"/>
        <v>9724861.59</v>
      </c>
      <c r="M216" s="115">
        <f>M221+M231+M217</f>
        <v>18207900</v>
      </c>
      <c r="N216" s="3">
        <f>C216*100/M216</f>
        <v>64.97996528979179</v>
      </c>
      <c r="O216" s="254">
        <f>C216*100/21145487.1</f>
        <v>55.95277632549784</v>
      </c>
      <c r="Q216" s="11">
        <f t="shared" si="70"/>
        <v>0</v>
      </c>
    </row>
    <row r="217" spans="1:17" ht="13.5" thickBot="1">
      <c r="A217" s="124">
        <v>512100</v>
      </c>
      <c r="B217" s="127" t="s">
        <v>218</v>
      </c>
      <c r="C217" s="125">
        <f>C218+C219</f>
        <v>0</v>
      </c>
      <c r="D217" s="126">
        <f aca="true" t="shared" si="72" ref="D217:L217">D218+D219</f>
        <v>0</v>
      </c>
      <c r="E217" s="126">
        <f t="shared" si="72"/>
        <v>0</v>
      </c>
      <c r="F217" s="126">
        <f t="shared" si="72"/>
        <v>0</v>
      </c>
      <c r="G217" s="126">
        <f t="shared" si="72"/>
        <v>0</v>
      </c>
      <c r="H217" s="179">
        <f t="shared" si="72"/>
        <v>0</v>
      </c>
      <c r="I217" s="126">
        <f t="shared" si="72"/>
        <v>0</v>
      </c>
      <c r="J217" s="126">
        <f t="shared" si="72"/>
        <v>0</v>
      </c>
      <c r="K217" s="126">
        <f t="shared" si="72"/>
        <v>0</v>
      </c>
      <c r="L217" s="126">
        <f t="shared" si="72"/>
        <v>0</v>
      </c>
      <c r="M217" s="13">
        <v>1850000</v>
      </c>
      <c r="N217" s="3"/>
      <c r="O217" s="35"/>
      <c r="Q217" s="11">
        <f t="shared" si="70"/>
        <v>0</v>
      </c>
    </row>
    <row r="218" spans="1:17" ht="13.5" thickBot="1">
      <c r="A218" s="128">
        <v>512111</v>
      </c>
      <c r="B218" s="129" t="s">
        <v>216</v>
      </c>
      <c r="C218" s="130">
        <v>0</v>
      </c>
      <c r="D218" s="131"/>
      <c r="E218" s="18"/>
      <c r="F218" s="19"/>
      <c r="G218" s="24"/>
      <c r="H218" s="180"/>
      <c r="I218" s="132"/>
      <c r="J218" s="132"/>
      <c r="K218" s="15"/>
      <c r="L218" s="16"/>
      <c r="M218" s="13"/>
      <c r="N218" s="3"/>
      <c r="O218" s="35"/>
      <c r="Q218" s="11">
        <f t="shared" si="70"/>
        <v>0</v>
      </c>
    </row>
    <row r="219" spans="1:17" ht="13.5" thickBot="1">
      <c r="A219" s="128">
        <v>512113</v>
      </c>
      <c r="B219" s="129" t="s">
        <v>217</v>
      </c>
      <c r="C219" s="130">
        <v>0</v>
      </c>
      <c r="D219" s="131"/>
      <c r="E219" s="18"/>
      <c r="F219" s="19"/>
      <c r="G219" s="24"/>
      <c r="H219" s="180"/>
      <c r="I219" s="132"/>
      <c r="J219" s="132"/>
      <c r="K219" s="15"/>
      <c r="L219" s="16"/>
      <c r="M219" s="13"/>
      <c r="N219" s="3"/>
      <c r="O219" s="35"/>
      <c r="Q219" s="11">
        <f t="shared" si="70"/>
        <v>0</v>
      </c>
    </row>
    <row r="220" spans="1:17" ht="13.5" hidden="1" thickBot="1">
      <c r="A220" s="133"/>
      <c r="B220" s="127"/>
      <c r="C220" s="134"/>
      <c r="D220" s="135"/>
      <c r="E220" s="135"/>
      <c r="F220" s="135"/>
      <c r="G220" s="135"/>
      <c r="H220" s="181"/>
      <c r="I220" s="135"/>
      <c r="J220" s="135"/>
      <c r="K220" s="135"/>
      <c r="L220" s="136"/>
      <c r="M220" s="13"/>
      <c r="N220" s="3" t="e">
        <f>C220*100/M220</f>
        <v>#DIV/0!</v>
      </c>
      <c r="O220" s="35">
        <f>C220*100/21145487.1</f>
        <v>0</v>
      </c>
      <c r="Q220" s="11">
        <f t="shared" si="70"/>
        <v>0</v>
      </c>
    </row>
    <row r="221" spans="1:17" ht="13.5" thickBot="1">
      <c r="A221" s="12">
        <v>512200</v>
      </c>
      <c r="B221" s="28" t="s">
        <v>226</v>
      </c>
      <c r="C221" s="134">
        <f>C222+C223+C224+C225+C226+C227+C228+C229</f>
        <v>2106625.51</v>
      </c>
      <c r="D221" s="135">
        <f aca="true" t="shared" si="73" ref="D221:L221">D222+D223+D224+D225+D226+D227+D228+D229</f>
        <v>0</v>
      </c>
      <c r="E221" s="135">
        <f t="shared" si="73"/>
        <v>0</v>
      </c>
      <c r="F221" s="135">
        <f t="shared" si="73"/>
        <v>0</v>
      </c>
      <c r="G221" s="135">
        <f t="shared" si="73"/>
        <v>2025225.51</v>
      </c>
      <c r="H221" s="181">
        <f t="shared" si="73"/>
        <v>0</v>
      </c>
      <c r="I221" s="135">
        <f t="shared" si="73"/>
        <v>0</v>
      </c>
      <c r="J221" s="135">
        <f t="shared" si="73"/>
        <v>0</v>
      </c>
      <c r="K221" s="135">
        <f t="shared" si="73"/>
        <v>81400</v>
      </c>
      <c r="L221" s="135">
        <f t="shared" si="73"/>
        <v>0</v>
      </c>
      <c r="M221" s="13">
        <v>2519900</v>
      </c>
      <c r="N221" s="3">
        <f>C221*100/M221</f>
        <v>83.59956783999364</v>
      </c>
      <c r="O221" s="35"/>
      <c r="P221" s="11"/>
      <c r="Q221" s="11">
        <f t="shared" si="70"/>
        <v>-2.3283064365386963E-10</v>
      </c>
    </row>
    <row r="222" spans="1:17" ht="13.5" thickBot="1">
      <c r="A222" s="26">
        <v>512211</v>
      </c>
      <c r="B222" s="48" t="s">
        <v>219</v>
      </c>
      <c r="C222" s="32">
        <f>G222+K222</f>
        <v>1004036</v>
      </c>
      <c r="D222" s="15"/>
      <c r="E222" s="15"/>
      <c r="F222" s="16"/>
      <c r="G222" s="16">
        <v>1004036</v>
      </c>
      <c r="H222" s="182"/>
      <c r="I222" s="16"/>
      <c r="J222" s="16"/>
      <c r="K222" s="15"/>
      <c r="L222" s="16"/>
      <c r="M222" s="13"/>
      <c r="N222" s="3"/>
      <c r="O222" s="35"/>
      <c r="Q222" s="11">
        <f t="shared" si="70"/>
        <v>0</v>
      </c>
    </row>
    <row r="223" spans="1:17" ht="13.5" thickBot="1">
      <c r="A223" s="26">
        <v>512212</v>
      </c>
      <c r="B223" s="48" t="s">
        <v>86</v>
      </c>
      <c r="C223" s="32">
        <f>G223+K223</f>
        <v>135489.51</v>
      </c>
      <c r="D223" s="15"/>
      <c r="E223" s="15"/>
      <c r="F223" s="16"/>
      <c r="G223" s="16">
        <v>83989.51</v>
      </c>
      <c r="H223" s="182"/>
      <c r="I223" s="16"/>
      <c r="J223" s="16"/>
      <c r="K223" s="15">
        <v>51500</v>
      </c>
      <c r="L223" s="16"/>
      <c r="M223" s="13"/>
      <c r="N223" s="3"/>
      <c r="O223" s="35"/>
      <c r="Q223" s="11">
        <f t="shared" si="70"/>
        <v>1.4551915228366852E-11</v>
      </c>
    </row>
    <row r="224" spans="1:17" ht="13.5" thickBot="1">
      <c r="A224" s="26">
        <v>512221</v>
      </c>
      <c r="B224" s="48" t="s">
        <v>220</v>
      </c>
      <c r="C224" s="32">
        <f>G224+K224</f>
        <v>938110</v>
      </c>
      <c r="D224" s="15"/>
      <c r="E224" s="15"/>
      <c r="F224" s="16"/>
      <c r="G224" s="16">
        <v>908210</v>
      </c>
      <c r="H224" s="182"/>
      <c r="I224" s="16"/>
      <c r="J224" s="16"/>
      <c r="K224" s="15">
        <v>29900</v>
      </c>
      <c r="L224" s="16"/>
      <c r="M224" s="13"/>
      <c r="N224" s="3"/>
      <c r="O224" s="35"/>
      <c r="Q224" s="11">
        <f t="shared" si="70"/>
        <v>0</v>
      </c>
    </row>
    <row r="225" spans="1:17" ht="13.5" thickBot="1">
      <c r="A225" s="66">
        <v>512223</v>
      </c>
      <c r="B225" s="67" t="s">
        <v>221</v>
      </c>
      <c r="C225" s="68"/>
      <c r="D225" s="69"/>
      <c r="E225" s="69"/>
      <c r="F225" s="70"/>
      <c r="G225" s="70"/>
      <c r="H225" s="182"/>
      <c r="I225" s="16"/>
      <c r="J225" s="16"/>
      <c r="K225" s="15"/>
      <c r="L225" s="16"/>
      <c r="M225" s="13"/>
      <c r="N225" s="3"/>
      <c r="O225" s="35"/>
      <c r="Q225" s="11">
        <f t="shared" si="70"/>
        <v>0</v>
      </c>
    </row>
    <row r="226" spans="1:17" ht="13.5" thickBot="1">
      <c r="A226" s="66">
        <v>512232</v>
      </c>
      <c r="B226" s="67" t="s">
        <v>222</v>
      </c>
      <c r="C226" s="68"/>
      <c r="D226" s="69"/>
      <c r="E226" s="69"/>
      <c r="F226" s="70"/>
      <c r="G226" s="70"/>
      <c r="H226" s="182"/>
      <c r="I226" s="16"/>
      <c r="J226" s="16"/>
      <c r="K226" s="15"/>
      <c r="L226" s="16"/>
      <c r="M226" s="13"/>
      <c r="N226" s="3"/>
      <c r="O226" s="35"/>
      <c r="Q226" s="11">
        <f t="shared" si="70"/>
        <v>0</v>
      </c>
    </row>
    <row r="227" spans="1:17" ht="13.5" thickBot="1">
      <c r="A227" s="66">
        <v>512222</v>
      </c>
      <c r="B227" s="67" t="s">
        <v>223</v>
      </c>
      <c r="C227" s="68"/>
      <c r="D227" s="69"/>
      <c r="E227" s="69"/>
      <c r="F227" s="70"/>
      <c r="G227" s="70"/>
      <c r="H227" s="182"/>
      <c r="I227" s="16"/>
      <c r="J227" s="16"/>
      <c r="K227" s="15"/>
      <c r="L227" s="16"/>
      <c r="M227" s="13"/>
      <c r="N227" s="3"/>
      <c r="O227" s="35"/>
      <c r="Q227" s="11">
        <f t="shared" si="70"/>
        <v>0</v>
      </c>
    </row>
    <row r="228" spans="1:17" ht="13.5" thickBot="1">
      <c r="A228" s="66">
        <v>512241</v>
      </c>
      <c r="B228" s="67" t="s">
        <v>224</v>
      </c>
      <c r="C228" s="68"/>
      <c r="D228" s="69"/>
      <c r="E228" s="69"/>
      <c r="F228" s="70"/>
      <c r="G228" s="70"/>
      <c r="H228" s="182"/>
      <c r="I228" s="16"/>
      <c r="J228" s="16"/>
      <c r="K228" s="15"/>
      <c r="L228" s="16"/>
      <c r="M228" s="13"/>
      <c r="N228" s="3"/>
      <c r="O228" s="35"/>
      <c r="Q228" s="11">
        <f t="shared" si="70"/>
        <v>0</v>
      </c>
    </row>
    <row r="229" spans="1:17" ht="13.5" thickBot="1">
      <c r="A229" s="26">
        <v>512251</v>
      </c>
      <c r="B229" s="48" t="s">
        <v>225</v>
      </c>
      <c r="C229" s="32">
        <v>28990</v>
      </c>
      <c r="D229" s="15"/>
      <c r="E229" s="15"/>
      <c r="F229" s="16"/>
      <c r="G229" s="16">
        <v>28990</v>
      </c>
      <c r="H229" s="182"/>
      <c r="I229" s="16"/>
      <c r="J229" s="16"/>
      <c r="K229" s="15"/>
      <c r="L229" s="16"/>
      <c r="M229" s="13"/>
      <c r="N229" s="3"/>
      <c r="O229" s="35"/>
      <c r="Q229" s="11">
        <f t="shared" si="70"/>
        <v>0</v>
      </c>
    </row>
    <row r="230" spans="1:17" ht="13.5" hidden="1" thickBot="1">
      <c r="A230" s="12"/>
      <c r="B230" s="28"/>
      <c r="C230" s="31"/>
      <c r="D230" s="9"/>
      <c r="E230" s="9"/>
      <c r="F230" s="9"/>
      <c r="G230" s="9"/>
      <c r="H230" s="171"/>
      <c r="I230" s="9"/>
      <c r="J230" s="9"/>
      <c r="K230" s="9"/>
      <c r="L230" s="10"/>
      <c r="M230" s="13"/>
      <c r="N230" s="3" t="e">
        <f>C230*100/M230</f>
        <v>#DIV/0!</v>
      </c>
      <c r="O230" s="35">
        <f>C230*100/21145487.1</f>
        <v>0</v>
      </c>
      <c r="Q230" s="11">
        <f t="shared" si="70"/>
        <v>0</v>
      </c>
    </row>
    <row r="231" spans="1:17" ht="13.5" thickBot="1">
      <c r="A231" s="12">
        <v>512500</v>
      </c>
      <c r="B231" s="28" t="s">
        <v>227</v>
      </c>
      <c r="C231" s="137">
        <f>C232+C233+C234+C235+C236+C237+C246</f>
        <v>9724861.59</v>
      </c>
      <c r="D231" s="18">
        <f aca="true" t="shared" si="74" ref="D231:K231">D232+D233+D234+D235+D236+D237</f>
        <v>0</v>
      </c>
      <c r="E231" s="18">
        <f t="shared" si="74"/>
        <v>0</v>
      </c>
      <c r="F231" s="18">
        <f t="shared" si="74"/>
        <v>0</v>
      </c>
      <c r="G231" s="18">
        <f t="shared" si="74"/>
        <v>0</v>
      </c>
      <c r="H231" s="183">
        <f t="shared" si="74"/>
        <v>0</v>
      </c>
      <c r="I231" s="18">
        <f t="shared" si="74"/>
        <v>0</v>
      </c>
      <c r="J231" s="18">
        <f t="shared" si="74"/>
        <v>0</v>
      </c>
      <c r="K231" s="18">
        <f t="shared" si="74"/>
        <v>0</v>
      </c>
      <c r="L231" s="18">
        <f>L232+L233+L234+L235+L236+L237+L246</f>
        <v>9724861.59</v>
      </c>
      <c r="M231" s="13">
        <f>M232+M233+M234+M235+M236+M237+M248+M246</f>
        <v>13838000</v>
      </c>
      <c r="N231" s="3">
        <f>C231*100/M231</f>
        <v>70.27649653129065</v>
      </c>
      <c r="O231" s="35"/>
      <c r="P231" s="11"/>
      <c r="Q231" s="11">
        <f t="shared" si="70"/>
        <v>0</v>
      </c>
    </row>
    <row r="232" spans="1:17" ht="45.75" thickBot="1">
      <c r="A232" s="17"/>
      <c r="B232" s="29" t="s">
        <v>262</v>
      </c>
      <c r="C232" s="33">
        <f>468000+1949699.99+2818800-649900</f>
        <v>4586599.99</v>
      </c>
      <c r="D232" s="18"/>
      <c r="E232" s="18"/>
      <c r="F232" s="19"/>
      <c r="G232" s="19"/>
      <c r="H232" s="184"/>
      <c r="I232" s="19"/>
      <c r="J232" s="19"/>
      <c r="K232" s="18"/>
      <c r="L232" s="249">
        <f>468000+1949699.99+2818800-649900</f>
        <v>4586599.99</v>
      </c>
      <c r="M232" s="13">
        <v>4600000</v>
      </c>
      <c r="N232" s="3"/>
      <c r="O232" s="35"/>
      <c r="Q232" s="11">
        <f t="shared" si="70"/>
        <v>0</v>
      </c>
    </row>
    <row r="233" spans="1:17" ht="23.25" thickBot="1">
      <c r="A233" s="17"/>
      <c r="B233" s="29" t="s">
        <v>263</v>
      </c>
      <c r="C233" s="33">
        <f>566400+863328</f>
        <v>1429728</v>
      </c>
      <c r="D233" s="18"/>
      <c r="E233" s="18"/>
      <c r="F233" s="19"/>
      <c r="G233" s="19"/>
      <c r="H233" s="184"/>
      <c r="I233" s="19"/>
      <c r="J233" s="19"/>
      <c r="K233" s="18"/>
      <c r="L233" s="249">
        <f>566400+863328</f>
        <v>1429728</v>
      </c>
      <c r="M233" s="13">
        <v>1464000</v>
      </c>
      <c r="N233" s="3"/>
      <c r="O233" s="35"/>
      <c r="Q233" s="11">
        <f t="shared" si="70"/>
        <v>0</v>
      </c>
    </row>
    <row r="234" spans="1:17" ht="23.25" thickBot="1">
      <c r="A234" s="17"/>
      <c r="B234" s="29" t="s">
        <v>264</v>
      </c>
      <c r="C234" s="33">
        <f>1199760</f>
        <v>1199760</v>
      </c>
      <c r="D234" s="18"/>
      <c r="E234" s="18"/>
      <c r="F234" s="19"/>
      <c r="G234" s="19"/>
      <c r="H234" s="184"/>
      <c r="I234" s="19"/>
      <c r="J234" s="19"/>
      <c r="K234" s="18"/>
      <c r="L234" s="249">
        <f>1199760</f>
        <v>1199760</v>
      </c>
      <c r="M234" s="13">
        <v>1200000</v>
      </c>
      <c r="N234" s="3"/>
      <c r="O234" s="35"/>
      <c r="Q234" s="11">
        <f t="shared" si="70"/>
        <v>0</v>
      </c>
    </row>
    <row r="235" spans="1:17" ht="13.5" thickBot="1">
      <c r="A235" s="17"/>
      <c r="B235" s="29" t="s">
        <v>265</v>
      </c>
      <c r="C235" s="33">
        <v>272800</v>
      </c>
      <c r="D235" s="18"/>
      <c r="E235" s="18"/>
      <c r="F235" s="19"/>
      <c r="G235" s="19"/>
      <c r="H235" s="184"/>
      <c r="I235" s="19"/>
      <c r="J235" s="19"/>
      <c r="K235" s="18"/>
      <c r="L235" s="249">
        <v>272800</v>
      </c>
      <c r="M235" s="13">
        <v>276000</v>
      </c>
      <c r="N235" s="3"/>
      <c r="O235" s="35"/>
      <c r="Q235" s="11">
        <f t="shared" si="70"/>
        <v>0</v>
      </c>
    </row>
    <row r="236" spans="1:17" ht="13.5" thickBot="1">
      <c r="A236" s="17"/>
      <c r="B236" s="29" t="s">
        <v>294</v>
      </c>
      <c r="C236" s="33">
        <v>988473.6</v>
      </c>
      <c r="D236" s="18"/>
      <c r="E236" s="18"/>
      <c r="F236" s="19"/>
      <c r="G236" s="19"/>
      <c r="H236" s="184"/>
      <c r="I236" s="19"/>
      <c r="J236" s="19"/>
      <c r="K236" s="18"/>
      <c r="L236" s="249">
        <v>988473.6</v>
      </c>
      <c r="M236" s="13">
        <v>990000</v>
      </c>
      <c r="N236" s="3"/>
      <c r="O236" s="35"/>
      <c r="Q236" s="11">
        <f t="shared" si="70"/>
        <v>0</v>
      </c>
    </row>
    <row r="237" spans="1:17" ht="13.5" thickBot="1">
      <c r="A237" s="17"/>
      <c r="B237" s="29" t="s">
        <v>266</v>
      </c>
      <c r="C237" s="33">
        <v>649900</v>
      </c>
      <c r="D237" s="18"/>
      <c r="E237" s="18"/>
      <c r="F237" s="19"/>
      <c r="G237" s="19"/>
      <c r="H237" s="184"/>
      <c r="I237" s="19"/>
      <c r="J237" s="19"/>
      <c r="K237" s="18"/>
      <c r="L237" s="249">
        <v>649900</v>
      </c>
      <c r="M237" s="13">
        <v>650000</v>
      </c>
      <c r="N237" s="3"/>
      <c r="O237" s="35"/>
      <c r="Q237" s="11">
        <f t="shared" si="70"/>
        <v>0</v>
      </c>
    </row>
    <row r="238" spans="1:17" ht="13.5" hidden="1" thickBot="1">
      <c r="A238" s="22"/>
      <c r="B238" s="43"/>
      <c r="C238" s="44"/>
      <c r="D238" s="23"/>
      <c r="E238" s="23"/>
      <c r="F238" s="24"/>
      <c r="G238" s="24"/>
      <c r="H238" s="182"/>
      <c r="I238" s="16"/>
      <c r="J238" s="16"/>
      <c r="K238" s="15"/>
      <c r="L238" s="16"/>
      <c r="M238" s="13"/>
      <c r="N238" s="3" t="e">
        <f aca="true" t="shared" si="75" ref="N238:N249">C238*100/M238</f>
        <v>#DIV/0!</v>
      </c>
      <c r="O238" s="35"/>
      <c r="Q238" s="11">
        <f t="shared" si="70"/>
        <v>0</v>
      </c>
    </row>
    <row r="239" spans="1:17" ht="13.5" hidden="1" thickBot="1">
      <c r="A239" s="26"/>
      <c r="B239" s="48"/>
      <c r="C239" s="32"/>
      <c r="D239" s="15"/>
      <c r="E239" s="15"/>
      <c r="F239" s="16"/>
      <c r="G239" s="16"/>
      <c r="H239" s="182"/>
      <c r="I239" s="16"/>
      <c r="J239" s="16"/>
      <c r="K239" s="15"/>
      <c r="L239" s="16"/>
      <c r="M239" s="13"/>
      <c r="N239" s="3" t="e">
        <f t="shared" si="75"/>
        <v>#DIV/0!</v>
      </c>
      <c r="O239" s="35"/>
      <c r="Q239" s="11">
        <f t="shared" si="70"/>
        <v>0</v>
      </c>
    </row>
    <row r="240" spans="1:17" ht="13.5" hidden="1" thickBot="1">
      <c r="A240" s="26"/>
      <c r="B240" s="48"/>
      <c r="C240" s="32"/>
      <c r="D240" s="15"/>
      <c r="E240" s="15"/>
      <c r="F240" s="16"/>
      <c r="G240" s="16"/>
      <c r="H240" s="182"/>
      <c r="I240" s="16"/>
      <c r="J240" s="16"/>
      <c r="K240" s="15"/>
      <c r="L240" s="16"/>
      <c r="M240" s="13"/>
      <c r="N240" s="3" t="e">
        <f t="shared" si="75"/>
        <v>#DIV/0!</v>
      </c>
      <c r="O240" s="35"/>
      <c r="Q240" s="11">
        <f t="shared" si="70"/>
        <v>0</v>
      </c>
    </row>
    <row r="241" spans="1:17" ht="13.5" hidden="1" thickBot="1">
      <c r="A241" s="12"/>
      <c r="B241" s="28"/>
      <c r="C241" s="31"/>
      <c r="D241" s="9"/>
      <c r="E241" s="9"/>
      <c r="F241" s="9"/>
      <c r="G241" s="9"/>
      <c r="H241" s="171"/>
      <c r="I241" s="9"/>
      <c r="J241" s="9"/>
      <c r="K241" s="9"/>
      <c r="L241" s="10"/>
      <c r="M241" s="13"/>
      <c r="N241" s="3" t="e">
        <f t="shared" si="75"/>
        <v>#DIV/0!</v>
      </c>
      <c r="O241" s="35"/>
      <c r="Q241" s="11">
        <f t="shared" si="70"/>
        <v>0</v>
      </c>
    </row>
    <row r="242" spans="1:17" ht="13.5" hidden="1" thickBot="1">
      <c r="A242" s="26"/>
      <c r="B242" s="48"/>
      <c r="C242" s="32"/>
      <c r="D242" s="9"/>
      <c r="E242" s="9"/>
      <c r="F242" s="9"/>
      <c r="G242" s="15"/>
      <c r="H242" s="185"/>
      <c r="I242" s="10"/>
      <c r="J242" s="10"/>
      <c r="K242" s="9"/>
      <c r="L242" s="16"/>
      <c r="M242" s="13"/>
      <c r="N242" s="3" t="e">
        <f t="shared" si="75"/>
        <v>#DIV/0!</v>
      </c>
      <c r="O242" s="35"/>
      <c r="Q242" s="11">
        <f t="shared" si="70"/>
        <v>0</v>
      </c>
    </row>
    <row r="243" spans="1:17" ht="13.5" hidden="1" thickBot="1">
      <c r="A243" s="87"/>
      <c r="B243" s="138"/>
      <c r="C243" s="84"/>
      <c r="D243" s="85"/>
      <c r="E243" s="85"/>
      <c r="F243" s="85"/>
      <c r="G243" s="85"/>
      <c r="H243" s="186"/>
      <c r="I243" s="10"/>
      <c r="J243" s="10"/>
      <c r="K243" s="9"/>
      <c r="L243" s="16"/>
      <c r="M243" s="13"/>
      <c r="N243" s="3" t="e">
        <f t="shared" si="75"/>
        <v>#DIV/0!</v>
      </c>
      <c r="O243" s="35"/>
      <c r="Q243" s="11">
        <f t="shared" si="70"/>
        <v>0</v>
      </c>
    </row>
    <row r="244" spans="1:17" ht="13.5" hidden="1" thickBot="1">
      <c r="A244" s="26">
        <v>515111</v>
      </c>
      <c r="B244" s="48" t="s">
        <v>228</v>
      </c>
      <c r="C244" s="32">
        <v>0</v>
      </c>
      <c r="D244" s="15"/>
      <c r="E244" s="15"/>
      <c r="F244" s="15"/>
      <c r="G244" s="15"/>
      <c r="H244" s="182"/>
      <c r="I244" s="16"/>
      <c r="J244" s="16"/>
      <c r="K244" s="9"/>
      <c r="L244" s="16"/>
      <c r="M244" s="13"/>
      <c r="N244" s="3" t="e">
        <f t="shared" si="75"/>
        <v>#DIV/0!</v>
      </c>
      <c r="O244" s="35"/>
      <c r="Q244" s="11">
        <f t="shared" si="70"/>
        <v>0</v>
      </c>
    </row>
    <row r="245" spans="1:17" ht="13.5" hidden="1" thickBot="1">
      <c r="A245" s="87">
        <v>5151</v>
      </c>
      <c r="B245" s="138" t="s">
        <v>229</v>
      </c>
      <c r="C245" s="84"/>
      <c r="D245" s="85"/>
      <c r="E245" s="85"/>
      <c r="F245" s="85"/>
      <c r="G245" s="85"/>
      <c r="H245" s="186"/>
      <c r="I245" s="86"/>
      <c r="J245" s="86"/>
      <c r="K245" s="85"/>
      <c r="L245" s="70"/>
      <c r="M245" s="206"/>
      <c r="N245" s="34" t="e">
        <f t="shared" si="75"/>
        <v>#DIV/0!</v>
      </c>
      <c r="O245" s="35"/>
      <c r="Q245" s="11">
        <f t="shared" si="70"/>
        <v>0</v>
      </c>
    </row>
    <row r="246" spans="1:15" ht="13.5" thickBot="1">
      <c r="A246" s="12"/>
      <c r="B246" s="4" t="s">
        <v>281</v>
      </c>
      <c r="C246" s="9">
        <v>597600</v>
      </c>
      <c r="D246" s="9"/>
      <c r="E246" s="9"/>
      <c r="F246" s="9"/>
      <c r="G246" s="9"/>
      <c r="H246" s="171"/>
      <c r="I246" s="9"/>
      <c r="J246" s="9"/>
      <c r="K246" s="9"/>
      <c r="L246" s="15">
        <v>597600</v>
      </c>
      <c r="M246" s="13">
        <v>598000</v>
      </c>
      <c r="N246" s="3"/>
      <c r="O246" s="35"/>
    </row>
    <row r="247" spans="1:15" ht="13.5" thickBot="1">
      <c r="A247" s="12">
        <v>512900</v>
      </c>
      <c r="B247" s="4" t="s">
        <v>282</v>
      </c>
      <c r="C247" s="9">
        <v>374000</v>
      </c>
      <c r="D247" s="9"/>
      <c r="E247" s="9"/>
      <c r="F247" s="9"/>
      <c r="G247" s="9"/>
      <c r="H247" s="171"/>
      <c r="I247" s="9"/>
      <c r="J247" s="9"/>
      <c r="K247" s="9"/>
      <c r="L247" s="15">
        <v>374000</v>
      </c>
      <c r="M247" s="248">
        <v>374000</v>
      </c>
      <c r="N247" s="3"/>
      <c r="O247" s="35">
        <f>C247*100/21145487.1</f>
        <v>1.76869891070043</v>
      </c>
    </row>
    <row r="248" spans="1:15" ht="13.5" thickBot="1">
      <c r="A248" s="12"/>
      <c r="B248" s="20" t="s">
        <v>276</v>
      </c>
      <c r="C248" s="9"/>
      <c r="D248" s="9"/>
      <c r="E248" s="9"/>
      <c r="F248" s="9"/>
      <c r="G248" s="9"/>
      <c r="H248" s="171"/>
      <c r="I248" s="9"/>
      <c r="J248" s="9"/>
      <c r="K248" s="9"/>
      <c r="L248" s="15"/>
      <c r="M248" s="13">
        <v>4060000</v>
      </c>
      <c r="N248" s="3"/>
      <c r="O248" s="35">
        <f>C248*100/21145487.1</f>
        <v>0</v>
      </c>
    </row>
    <row r="249" spans="1:17" ht="13.5" thickBot="1">
      <c r="A249" s="12"/>
      <c r="B249" s="12" t="s">
        <v>230</v>
      </c>
      <c r="C249" s="9">
        <f>C214+C217+C221+C231+C247</f>
        <v>21145487.1</v>
      </c>
      <c r="D249" s="9">
        <f aca="true" t="shared" si="76" ref="D249:K249">D214+D217+D221+D231</f>
        <v>0</v>
      </c>
      <c r="E249" s="9">
        <f t="shared" si="76"/>
        <v>0</v>
      </c>
      <c r="F249" s="9">
        <f t="shared" si="76"/>
        <v>0</v>
      </c>
      <c r="G249" s="9">
        <f t="shared" si="76"/>
        <v>2025225.51</v>
      </c>
      <c r="H249" s="171">
        <f t="shared" si="76"/>
        <v>0</v>
      </c>
      <c r="I249" s="9">
        <f t="shared" si="76"/>
        <v>0</v>
      </c>
      <c r="J249" s="9">
        <f t="shared" si="76"/>
        <v>0</v>
      </c>
      <c r="K249" s="9">
        <f t="shared" si="76"/>
        <v>81400</v>
      </c>
      <c r="L249" s="9">
        <f>L214+L217+L221+L231+L247</f>
        <v>19038861.59</v>
      </c>
      <c r="M249" s="9">
        <f>M214+M217+M221+M231+M247</f>
        <v>27521900</v>
      </c>
      <c r="N249" s="3">
        <f t="shared" si="75"/>
        <v>76.8314945552451</v>
      </c>
      <c r="O249" s="35">
        <f>C249*100/21145487.1</f>
        <v>100</v>
      </c>
      <c r="P249" s="11"/>
      <c r="Q249" s="11">
        <f t="shared" si="70"/>
        <v>0</v>
      </c>
    </row>
    <row r="250" spans="1:17" ht="12.75">
      <c r="A250" s="94"/>
      <c r="B250" s="94"/>
      <c r="C250" s="139"/>
      <c r="D250" s="139"/>
      <c r="E250" s="139"/>
      <c r="F250" s="139"/>
      <c r="G250" s="139"/>
      <c r="H250" s="187"/>
      <c r="I250" s="139"/>
      <c r="J250" s="139"/>
      <c r="K250" s="139"/>
      <c r="L250" s="140"/>
      <c r="M250" s="11"/>
      <c r="Q250" s="11">
        <f t="shared" si="70"/>
        <v>0</v>
      </c>
    </row>
    <row r="251" spans="1:17" ht="12.75">
      <c r="A251" s="94"/>
      <c r="B251" s="94"/>
      <c r="C251" s="139">
        <f aca="true" t="shared" si="77" ref="C251:L251">C249+C204</f>
        <v>587894945.9900001</v>
      </c>
      <c r="D251" s="139">
        <f t="shared" si="77"/>
        <v>492916771.6</v>
      </c>
      <c r="E251" s="139">
        <f t="shared" si="77"/>
        <v>5267050</v>
      </c>
      <c r="F251" s="139">
        <f t="shared" si="77"/>
        <v>59596</v>
      </c>
      <c r="G251" s="139">
        <f t="shared" si="77"/>
        <v>37602217.27</v>
      </c>
      <c r="H251" s="187">
        <f t="shared" si="77"/>
        <v>1206767.47</v>
      </c>
      <c r="I251" s="139">
        <f t="shared" si="77"/>
        <v>436249.2</v>
      </c>
      <c r="J251" s="139">
        <f t="shared" si="77"/>
        <v>23995788.169999998</v>
      </c>
      <c r="K251" s="139">
        <f t="shared" si="77"/>
        <v>100495.6</v>
      </c>
      <c r="L251" s="139">
        <f t="shared" si="77"/>
        <v>26310010.68</v>
      </c>
      <c r="M251" s="11"/>
      <c r="Q251" s="11">
        <f t="shared" si="70"/>
        <v>1.0058283805847168E-07</v>
      </c>
    </row>
    <row r="252" spans="1:17" ht="12.75">
      <c r="A252" s="94"/>
      <c r="B252" s="94"/>
      <c r="C252" s="139"/>
      <c r="D252" s="139"/>
      <c r="E252" s="139"/>
      <c r="F252" s="139"/>
      <c r="G252" s="139"/>
      <c r="H252" s="187"/>
      <c r="I252" s="139"/>
      <c r="J252" s="139"/>
      <c r="K252" s="139"/>
      <c r="L252" s="141">
        <f>L231-9724861.59</f>
        <v>0</v>
      </c>
      <c r="M252" s="11"/>
      <c r="Q252" s="11">
        <f t="shared" si="70"/>
        <v>0</v>
      </c>
    </row>
    <row r="253" spans="1:17" ht="12.75">
      <c r="A253" s="94"/>
      <c r="B253" s="94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1"/>
      <c r="Q253" s="11">
        <f t="shared" si="70"/>
        <v>0</v>
      </c>
    </row>
    <row r="254" spans="1:17" ht="12.75">
      <c r="A254" s="94"/>
      <c r="B254" s="94"/>
      <c r="C254" s="1" t="s">
        <v>277</v>
      </c>
      <c r="D254" s="1"/>
      <c r="E254" s="1"/>
      <c r="F254" s="1"/>
      <c r="G254" s="1"/>
      <c r="H254" s="168"/>
      <c r="I254" s="2"/>
      <c r="J254" s="2"/>
      <c r="K254" s="2"/>
      <c r="L254" s="140"/>
      <c r="M254" s="11"/>
      <c r="Q254" s="11" t="e">
        <f t="shared" si="70"/>
        <v>#VALUE!</v>
      </c>
    </row>
    <row r="255" spans="1:17" ht="12.75">
      <c r="A255" s="94"/>
      <c r="B255" s="94"/>
      <c r="C255" s="139"/>
      <c r="D255" s="139"/>
      <c r="E255" s="139"/>
      <c r="F255" s="139"/>
      <c r="G255" s="139"/>
      <c r="H255" s="187"/>
      <c r="I255" s="139"/>
      <c r="J255" s="139"/>
      <c r="K255" s="139"/>
      <c r="L255" s="140"/>
      <c r="M255" s="11"/>
      <c r="Q255" s="11">
        <f t="shared" si="70"/>
        <v>0</v>
      </c>
    </row>
    <row r="256" spans="1:17" ht="13.5" thickBot="1">
      <c r="A256" s="94" t="s">
        <v>90</v>
      </c>
      <c r="B256" s="94"/>
      <c r="C256" s="142"/>
      <c r="D256" s="142"/>
      <c r="E256" s="142"/>
      <c r="F256" s="142"/>
      <c r="G256" s="142"/>
      <c r="H256" s="188"/>
      <c r="I256" s="142"/>
      <c r="J256" s="142"/>
      <c r="K256" s="142"/>
      <c r="L256" s="143"/>
      <c r="M256" s="11"/>
      <c r="Q256" s="11">
        <f t="shared" si="70"/>
        <v>0</v>
      </c>
    </row>
    <row r="257" spans="1:17" ht="57" thickBot="1">
      <c r="A257" s="36" t="s">
        <v>0</v>
      </c>
      <c r="B257" s="36" t="s">
        <v>1</v>
      </c>
      <c r="C257" s="36" t="s">
        <v>2</v>
      </c>
      <c r="D257" s="36" t="s">
        <v>153</v>
      </c>
      <c r="E257" s="144" t="s">
        <v>93</v>
      </c>
      <c r="F257" s="39" t="s">
        <v>154</v>
      </c>
      <c r="G257" s="36" t="s">
        <v>94</v>
      </c>
      <c r="H257" s="169" t="s">
        <v>95</v>
      </c>
      <c r="I257" s="56" t="s">
        <v>155</v>
      </c>
      <c r="J257" s="40" t="s">
        <v>156</v>
      </c>
      <c r="K257" s="41" t="s">
        <v>122</v>
      </c>
      <c r="L257" s="42" t="s">
        <v>107</v>
      </c>
      <c r="M257" s="207" t="s">
        <v>285</v>
      </c>
      <c r="N257" s="7" t="s">
        <v>123</v>
      </c>
      <c r="O257" s="7" t="s">
        <v>142</v>
      </c>
      <c r="Q257" s="11" t="e">
        <f t="shared" si="70"/>
        <v>#VALUE!</v>
      </c>
    </row>
    <row r="258" spans="1:17" ht="22.5" hidden="1">
      <c r="A258" s="145">
        <v>733161</v>
      </c>
      <c r="B258" s="146" t="s">
        <v>231</v>
      </c>
      <c r="C258" s="147">
        <v>11845937.24</v>
      </c>
      <c r="D258" s="148"/>
      <c r="E258" s="149"/>
      <c r="F258" s="150"/>
      <c r="G258" s="151"/>
      <c r="H258" s="189"/>
      <c r="I258" s="152"/>
      <c r="J258" s="152"/>
      <c r="K258" s="60"/>
      <c r="L258" s="152">
        <v>11845937.24</v>
      </c>
      <c r="M258" s="13"/>
      <c r="N258" s="49"/>
      <c r="O258" s="49"/>
      <c r="Q258" s="11">
        <f t="shared" si="70"/>
        <v>0</v>
      </c>
    </row>
    <row r="259" spans="1:18" s="216" customFormat="1" ht="22.5">
      <c r="A259" s="210">
        <v>733100</v>
      </c>
      <c r="B259" s="211" t="s">
        <v>232</v>
      </c>
      <c r="C259" s="212">
        <v>26310011.56</v>
      </c>
      <c r="D259" s="213">
        <f aca="true" t="shared" si="78" ref="D259:K259">SUM(D258)</f>
        <v>0</v>
      </c>
      <c r="E259" s="213">
        <f t="shared" si="78"/>
        <v>0</v>
      </c>
      <c r="F259" s="213">
        <f t="shared" si="78"/>
        <v>0</v>
      </c>
      <c r="G259" s="213">
        <f t="shared" si="78"/>
        <v>0</v>
      </c>
      <c r="H259" s="213">
        <f t="shared" si="78"/>
        <v>0</v>
      </c>
      <c r="I259" s="213">
        <f t="shared" si="78"/>
        <v>0</v>
      </c>
      <c r="J259" s="213"/>
      <c r="K259" s="213">
        <f t="shared" si="78"/>
        <v>0</v>
      </c>
      <c r="L259" s="212">
        <v>26310011.56</v>
      </c>
      <c r="M259" s="248">
        <v>30488000</v>
      </c>
      <c r="N259" s="215">
        <f>C259*100/M259</f>
        <v>86.29628562057202</v>
      </c>
      <c r="O259" s="215">
        <f>C259*100/588410849.89</f>
        <v>4.471367508759994</v>
      </c>
      <c r="Q259" s="217">
        <f t="shared" si="70"/>
        <v>0</v>
      </c>
      <c r="R259" s="217"/>
    </row>
    <row r="260" spans="1:18" s="216" customFormat="1" ht="19.5" hidden="1">
      <c r="A260" s="218">
        <v>741411</v>
      </c>
      <c r="B260" s="219" t="s">
        <v>233</v>
      </c>
      <c r="C260" s="220">
        <v>27153.27</v>
      </c>
      <c r="D260" s="220"/>
      <c r="E260" s="221" t="s">
        <v>234</v>
      </c>
      <c r="F260" s="220">
        <v>27153.27</v>
      </c>
      <c r="G260" s="220"/>
      <c r="H260" s="221"/>
      <c r="I260" s="222"/>
      <c r="J260" s="222"/>
      <c r="K260" s="223"/>
      <c r="L260" s="224"/>
      <c r="M260" s="248"/>
      <c r="N260" s="215" t="e">
        <f aca="true" t="shared" si="79" ref="N260:N316">C260*100/M260</f>
        <v>#DIV/0!</v>
      </c>
      <c r="O260" s="215">
        <f aca="true" t="shared" si="80" ref="O260:O315">C260*100/588410849.89</f>
        <v>0.004614678673086355</v>
      </c>
      <c r="Q260" s="217" t="e">
        <f t="shared" si="70"/>
        <v>#VALUE!</v>
      </c>
      <c r="R260" s="217"/>
    </row>
    <row r="261" spans="1:18" s="216" customFormat="1" ht="12.75">
      <c r="A261" s="225">
        <v>741400</v>
      </c>
      <c r="B261" s="226" t="s">
        <v>111</v>
      </c>
      <c r="C261" s="227">
        <v>153018.27</v>
      </c>
      <c r="D261" s="227">
        <f aca="true" t="shared" si="81" ref="D261:L261">SUM(D260)</f>
        <v>0</v>
      </c>
      <c r="E261" s="227">
        <f t="shared" si="81"/>
        <v>0</v>
      </c>
      <c r="F261" s="227">
        <v>153018.27</v>
      </c>
      <c r="G261" s="227">
        <f t="shared" si="81"/>
        <v>0</v>
      </c>
      <c r="H261" s="227">
        <f t="shared" si="81"/>
        <v>0</v>
      </c>
      <c r="I261" s="227">
        <f t="shared" si="81"/>
        <v>0</v>
      </c>
      <c r="J261" s="227"/>
      <c r="K261" s="227">
        <f t="shared" si="81"/>
        <v>0</v>
      </c>
      <c r="L261" s="222">
        <f t="shared" si="81"/>
        <v>0</v>
      </c>
      <c r="M261" s="248">
        <v>153000</v>
      </c>
      <c r="N261" s="215">
        <f t="shared" si="79"/>
        <v>100.01194117647057</v>
      </c>
      <c r="O261" s="215">
        <f t="shared" si="80"/>
        <v>0.02600534473975214</v>
      </c>
      <c r="Q261" s="217">
        <f t="shared" si="70"/>
        <v>0</v>
      </c>
      <c r="R261" s="217"/>
    </row>
    <row r="262" spans="1:18" s="216" customFormat="1" ht="12.75">
      <c r="A262" s="228">
        <v>742100</v>
      </c>
      <c r="B262" s="229" t="s">
        <v>143</v>
      </c>
      <c r="C262" s="230">
        <f>C263+C264+C265+C275+C276</f>
        <v>35258398.31999999</v>
      </c>
      <c r="D262" s="230">
        <f aca="true" t="shared" si="82" ref="D262:L262">D263+D264+D265+D275+D276</f>
        <v>0</v>
      </c>
      <c r="E262" s="230">
        <f t="shared" si="82"/>
        <v>0</v>
      </c>
      <c r="F262" s="230">
        <f t="shared" si="82"/>
        <v>0</v>
      </c>
      <c r="G262" s="230">
        <f t="shared" si="82"/>
        <v>33685260.56999999</v>
      </c>
      <c r="H262" s="230">
        <f t="shared" si="82"/>
        <v>1573137.75</v>
      </c>
      <c r="I262" s="227">
        <f t="shared" si="82"/>
        <v>0</v>
      </c>
      <c r="J262" s="227">
        <f t="shared" si="82"/>
        <v>0</v>
      </c>
      <c r="K262" s="227">
        <f t="shared" si="82"/>
        <v>0</v>
      </c>
      <c r="L262" s="222">
        <f t="shared" si="82"/>
        <v>0</v>
      </c>
      <c r="M262" s="248">
        <f>M263+M264+M265+M275+M276</f>
        <v>39012000</v>
      </c>
      <c r="N262" s="215">
        <f t="shared" si="79"/>
        <v>90.37834081820975</v>
      </c>
      <c r="O262" s="215">
        <f t="shared" si="80"/>
        <v>5.992139391479839</v>
      </c>
      <c r="Q262" s="217">
        <f t="shared" si="70"/>
        <v>0</v>
      </c>
      <c r="R262" s="217"/>
    </row>
    <row r="263" spans="1:18" s="216" customFormat="1" ht="12.75">
      <c r="A263" s="231">
        <v>742121</v>
      </c>
      <c r="B263" s="232" t="s">
        <v>125</v>
      </c>
      <c r="C263" s="233">
        <f>1317970+10015109.56+871741.6</f>
        <v>12204821.16</v>
      </c>
      <c r="D263" s="233">
        <f aca="true" t="shared" si="83" ref="D263:L263">D266+D267+D269+D270</f>
        <v>0</v>
      </c>
      <c r="E263" s="233">
        <f t="shared" si="83"/>
        <v>0</v>
      </c>
      <c r="F263" s="233">
        <f t="shared" si="83"/>
        <v>0</v>
      </c>
      <c r="G263" s="233">
        <f>1317970+10015109.56+871741.6</f>
        <v>12204821.16</v>
      </c>
      <c r="H263" s="233">
        <f t="shared" si="83"/>
        <v>0</v>
      </c>
      <c r="I263" s="227">
        <f t="shared" si="83"/>
        <v>0</v>
      </c>
      <c r="J263" s="227">
        <f t="shared" si="83"/>
        <v>0</v>
      </c>
      <c r="K263" s="227">
        <f t="shared" si="83"/>
        <v>0</v>
      </c>
      <c r="L263" s="222">
        <f t="shared" si="83"/>
        <v>0</v>
      </c>
      <c r="M263" s="214">
        <v>15000000</v>
      </c>
      <c r="N263" s="215">
        <f t="shared" si="79"/>
        <v>81.3654744</v>
      </c>
      <c r="O263" s="215">
        <f t="shared" si="80"/>
        <v>2.0742005628009106</v>
      </c>
      <c r="Q263" s="217">
        <f t="shared" si="70"/>
        <v>0</v>
      </c>
      <c r="R263" s="217"/>
    </row>
    <row r="264" spans="1:18" s="216" customFormat="1" ht="12.75">
      <c r="A264" s="231">
        <v>742121</v>
      </c>
      <c r="B264" s="232" t="s">
        <v>267</v>
      </c>
      <c r="C264" s="233">
        <f>3072590+290510+521857</f>
        <v>3884957</v>
      </c>
      <c r="D264" s="233">
        <f aca="true" t="shared" si="84" ref="D264:L264">D268+D271+D274</f>
        <v>0</v>
      </c>
      <c r="E264" s="233">
        <f t="shared" si="84"/>
        <v>0</v>
      </c>
      <c r="F264" s="233">
        <f t="shared" si="84"/>
        <v>0</v>
      </c>
      <c r="G264" s="233">
        <f>3072590+290510+521857</f>
        <v>3884957</v>
      </c>
      <c r="H264" s="233">
        <f t="shared" si="84"/>
        <v>0</v>
      </c>
      <c r="I264" s="227">
        <f t="shared" si="84"/>
        <v>0</v>
      </c>
      <c r="J264" s="227">
        <f t="shared" si="84"/>
        <v>0</v>
      </c>
      <c r="K264" s="227">
        <f t="shared" si="84"/>
        <v>0</v>
      </c>
      <c r="L264" s="222">
        <f t="shared" si="84"/>
        <v>0</v>
      </c>
      <c r="M264" s="214">
        <v>4200000</v>
      </c>
      <c r="N264" s="215">
        <f t="shared" si="79"/>
        <v>92.49897619047618</v>
      </c>
      <c r="O264" s="215">
        <f t="shared" si="80"/>
        <v>0.6602456431125072</v>
      </c>
      <c r="Q264" s="217">
        <f t="shared" si="70"/>
        <v>0</v>
      </c>
      <c r="R264" s="217"/>
    </row>
    <row r="265" spans="1:18" s="216" customFormat="1" ht="12.75">
      <c r="A265" s="234">
        <v>742121</v>
      </c>
      <c r="B265" s="231" t="s">
        <v>268</v>
      </c>
      <c r="C265" s="233">
        <f>15821462.38+1148181.07+565082.24</f>
        <v>17534725.689999998</v>
      </c>
      <c r="D265" s="233">
        <f aca="true" t="shared" si="85" ref="D265:L265">D272+D273</f>
        <v>0</v>
      </c>
      <c r="E265" s="233">
        <f t="shared" si="85"/>
        <v>0</v>
      </c>
      <c r="F265" s="233">
        <f t="shared" si="85"/>
        <v>0</v>
      </c>
      <c r="G265" s="233">
        <f>15821462.38+1148181.07+565082.24</f>
        <v>17534725.689999998</v>
      </c>
      <c r="H265" s="233">
        <f t="shared" si="85"/>
        <v>0</v>
      </c>
      <c r="I265" s="227">
        <f t="shared" si="85"/>
        <v>0</v>
      </c>
      <c r="J265" s="227">
        <f t="shared" si="85"/>
        <v>0</v>
      </c>
      <c r="K265" s="227">
        <f t="shared" si="85"/>
        <v>0</v>
      </c>
      <c r="L265" s="222">
        <f t="shared" si="85"/>
        <v>0</v>
      </c>
      <c r="M265" s="214">
        <v>18247000</v>
      </c>
      <c r="N265" s="215">
        <f t="shared" si="79"/>
        <v>96.09648539485941</v>
      </c>
      <c r="O265" s="215">
        <f t="shared" si="80"/>
        <v>2.9800139975797544</v>
      </c>
      <c r="Q265" s="217">
        <f t="shared" si="70"/>
        <v>0</v>
      </c>
      <c r="R265" s="217"/>
    </row>
    <row r="266" spans="1:18" s="216" customFormat="1" ht="12.75" hidden="1">
      <c r="A266" s="235">
        <v>74212101</v>
      </c>
      <c r="B266" s="236" t="s">
        <v>235</v>
      </c>
      <c r="C266" s="237">
        <v>589887</v>
      </c>
      <c r="D266" s="237"/>
      <c r="E266" s="237"/>
      <c r="F266" s="237"/>
      <c r="G266" s="237">
        <v>589887</v>
      </c>
      <c r="H266" s="237"/>
      <c r="I266" s="238"/>
      <c r="J266" s="238"/>
      <c r="K266" s="224"/>
      <c r="L266" s="224"/>
      <c r="M266" s="214"/>
      <c r="N266" s="215" t="e">
        <f t="shared" si="79"/>
        <v>#DIV/0!</v>
      </c>
      <c r="O266" s="215">
        <f t="shared" si="80"/>
        <v>0.10025087064765648</v>
      </c>
      <c r="Q266" s="217">
        <f t="shared" si="70"/>
        <v>0</v>
      </c>
      <c r="R266" s="217"/>
    </row>
    <row r="267" spans="1:18" s="216" customFormat="1" ht="12.75" hidden="1">
      <c r="A267" s="239">
        <v>74212102</v>
      </c>
      <c r="B267" s="240" t="s">
        <v>236</v>
      </c>
      <c r="C267" s="241">
        <v>4582304.94</v>
      </c>
      <c r="D267" s="241"/>
      <c r="E267" s="241"/>
      <c r="F267" s="241"/>
      <c r="G267" s="241">
        <v>4582304.94</v>
      </c>
      <c r="H267" s="241"/>
      <c r="I267" s="224"/>
      <c r="J267" s="224"/>
      <c r="K267" s="224"/>
      <c r="L267" s="224"/>
      <c r="M267" s="214"/>
      <c r="N267" s="215" t="e">
        <f t="shared" si="79"/>
        <v>#DIV/0!</v>
      </c>
      <c r="O267" s="215">
        <f t="shared" si="80"/>
        <v>0.7787594230896041</v>
      </c>
      <c r="Q267" s="217">
        <f t="shared" si="70"/>
        <v>0</v>
      </c>
      <c r="R267" s="217"/>
    </row>
    <row r="268" spans="1:18" s="216" customFormat="1" ht="12.75" hidden="1">
      <c r="A268" s="239">
        <v>74212103</v>
      </c>
      <c r="B268" s="240" t="s">
        <v>237</v>
      </c>
      <c r="C268" s="241">
        <v>1768230</v>
      </c>
      <c r="D268" s="241"/>
      <c r="E268" s="241"/>
      <c r="F268" s="241"/>
      <c r="G268" s="241">
        <v>1768230</v>
      </c>
      <c r="H268" s="241"/>
      <c r="I268" s="224"/>
      <c r="J268" s="224"/>
      <c r="K268" s="224"/>
      <c r="L268" s="224"/>
      <c r="M268" s="214"/>
      <c r="N268" s="215" t="e">
        <f t="shared" si="79"/>
        <v>#DIV/0!</v>
      </c>
      <c r="O268" s="215">
        <f t="shared" si="80"/>
        <v>0.30050941452397767</v>
      </c>
      <c r="Q268" s="217">
        <f t="shared" si="70"/>
        <v>0</v>
      </c>
      <c r="R268" s="217"/>
    </row>
    <row r="269" spans="1:18" s="216" customFormat="1" ht="12.75" hidden="1">
      <c r="A269" s="239">
        <v>74212104</v>
      </c>
      <c r="B269" s="240" t="s">
        <v>238</v>
      </c>
      <c r="C269" s="241">
        <v>183170</v>
      </c>
      <c r="D269" s="241"/>
      <c r="E269" s="241"/>
      <c r="F269" s="241"/>
      <c r="G269" s="241">
        <v>183170</v>
      </c>
      <c r="H269" s="241"/>
      <c r="I269" s="224"/>
      <c r="J269" s="224"/>
      <c r="K269" s="224"/>
      <c r="L269" s="224"/>
      <c r="M269" s="214"/>
      <c r="N269" s="215" t="e">
        <f t="shared" si="79"/>
        <v>#DIV/0!</v>
      </c>
      <c r="O269" s="215">
        <f t="shared" si="80"/>
        <v>0.031129609529505206</v>
      </c>
      <c r="Q269" s="217">
        <f t="shared" si="70"/>
        <v>0</v>
      </c>
      <c r="R269" s="217"/>
    </row>
    <row r="270" spans="1:18" s="216" customFormat="1" ht="12.75" hidden="1">
      <c r="A270" s="239">
        <v>74212105</v>
      </c>
      <c r="B270" s="240" t="s">
        <v>239</v>
      </c>
      <c r="C270" s="241">
        <v>729181.63</v>
      </c>
      <c r="D270" s="241"/>
      <c r="E270" s="241"/>
      <c r="F270" s="241"/>
      <c r="G270" s="241">
        <v>729181.63</v>
      </c>
      <c r="H270" s="241"/>
      <c r="I270" s="224"/>
      <c r="J270" s="224"/>
      <c r="K270" s="224"/>
      <c r="L270" s="224"/>
      <c r="M270" s="214"/>
      <c r="N270" s="215" t="e">
        <f t="shared" si="79"/>
        <v>#DIV/0!</v>
      </c>
      <c r="O270" s="215">
        <f t="shared" si="80"/>
        <v>0.12392389265702974</v>
      </c>
      <c r="Q270" s="217">
        <f t="shared" si="70"/>
        <v>0</v>
      </c>
      <c r="R270" s="217"/>
    </row>
    <row r="271" spans="1:18" s="216" customFormat="1" ht="12.75" hidden="1">
      <c r="A271" s="239">
        <v>74212106</v>
      </c>
      <c r="B271" s="240" t="s">
        <v>240</v>
      </c>
      <c r="C271" s="241">
        <v>215407</v>
      </c>
      <c r="D271" s="241"/>
      <c r="E271" s="241"/>
      <c r="F271" s="241"/>
      <c r="G271" s="241">
        <v>215407</v>
      </c>
      <c r="H271" s="241"/>
      <c r="I271" s="224"/>
      <c r="J271" s="224"/>
      <c r="K271" s="224"/>
      <c r="L271" s="224"/>
      <c r="M271" s="214"/>
      <c r="N271" s="215" t="e">
        <f t="shared" si="79"/>
        <v>#DIV/0!</v>
      </c>
      <c r="O271" s="215">
        <f t="shared" si="80"/>
        <v>0.03660826445336096</v>
      </c>
      <c r="Q271" s="217">
        <f t="shared" si="70"/>
        <v>0</v>
      </c>
      <c r="R271" s="217"/>
    </row>
    <row r="272" spans="1:18" s="216" customFormat="1" ht="12.75" hidden="1">
      <c r="A272" s="239">
        <v>74212107</v>
      </c>
      <c r="B272" s="240" t="s">
        <v>241</v>
      </c>
      <c r="C272" s="241">
        <v>6164726.87</v>
      </c>
      <c r="D272" s="241"/>
      <c r="E272" s="241"/>
      <c r="F272" s="241"/>
      <c r="G272" s="241">
        <v>6164726.87</v>
      </c>
      <c r="H272" s="241"/>
      <c r="I272" s="224"/>
      <c r="J272" s="224"/>
      <c r="K272" s="224"/>
      <c r="L272" s="224"/>
      <c r="M272" s="214"/>
      <c r="N272" s="215" t="e">
        <f t="shared" si="79"/>
        <v>#DIV/0!</v>
      </c>
      <c r="O272" s="215">
        <f t="shared" si="80"/>
        <v>1.0476908899882558</v>
      </c>
      <c r="Q272" s="217">
        <f t="shared" si="70"/>
        <v>0</v>
      </c>
      <c r="R272" s="217"/>
    </row>
    <row r="273" spans="1:18" s="216" customFormat="1" ht="12.75" hidden="1">
      <c r="A273" s="239">
        <v>74212108</v>
      </c>
      <c r="B273" s="240" t="s">
        <v>242</v>
      </c>
      <c r="C273" s="241">
        <v>505078.8</v>
      </c>
      <c r="D273" s="241"/>
      <c r="E273" s="241"/>
      <c r="F273" s="241"/>
      <c r="G273" s="241">
        <v>505078.8</v>
      </c>
      <c r="H273" s="241"/>
      <c r="I273" s="224"/>
      <c r="J273" s="224"/>
      <c r="K273" s="224"/>
      <c r="L273" s="224"/>
      <c r="M273" s="214"/>
      <c r="N273" s="215" t="e">
        <f t="shared" si="79"/>
        <v>#DIV/0!</v>
      </c>
      <c r="O273" s="215">
        <f t="shared" si="80"/>
        <v>0.0858377781603486</v>
      </c>
      <c r="Q273" s="217">
        <f t="shared" si="70"/>
        <v>0</v>
      </c>
      <c r="R273" s="217"/>
    </row>
    <row r="274" spans="1:18" s="216" customFormat="1" ht="12.75" hidden="1">
      <c r="A274" s="239">
        <v>74212109</v>
      </c>
      <c r="B274" s="240" t="s">
        <v>243</v>
      </c>
      <c r="C274" s="241">
        <v>353627.58</v>
      </c>
      <c r="D274" s="241"/>
      <c r="E274" s="241"/>
      <c r="F274" s="241"/>
      <c r="G274" s="241">
        <v>353627.58</v>
      </c>
      <c r="H274" s="241"/>
      <c r="I274" s="224"/>
      <c r="J274" s="224"/>
      <c r="K274" s="224"/>
      <c r="L274" s="224"/>
      <c r="M274" s="214"/>
      <c r="N274" s="215" t="e">
        <f t="shared" si="79"/>
        <v>#DIV/0!</v>
      </c>
      <c r="O274" s="215">
        <f t="shared" si="80"/>
        <v>0.06009875243906679</v>
      </c>
      <c r="Q274" s="217">
        <f t="shared" si="70"/>
        <v>0</v>
      </c>
      <c r="R274" s="217"/>
    </row>
    <row r="275" spans="1:18" s="216" customFormat="1" ht="12.75">
      <c r="A275" s="239">
        <v>7421611</v>
      </c>
      <c r="B275" s="240" t="s">
        <v>83</v>
      </c>
      <c r="C275" s="241">
        <v>1573137.75</v>
      </c>
      <c r="D275" s="241"/>
      <c r="E275" s="241"/>
      <c r="F275" s="241"/>
      <c r="G275" s="241"/>
      <c r="H275" s="241">
        <v>1573137.75</v>
      </c>
      <c r="I275" s="224"/>
      <c r="J275" s="224"/>
      <c r="K275" s="224"/>
      <c r="L275" s="224"/>
      <c r="M275" s="214">
        <v>1500000</v>
      </c>
      <c r="N275" s="215">
        <f t="shared" si="79"/>
        <v>104.87585</v>
      </c>
      <c r="O275" s="215">
        <f t="shared" si="80"/>
        <v>0.2673536271967264</v>
      </c>
      <c r="Q275" s="217">
        <f t="shared" si="70"/>
        <v>0</v>
      </c>
      <c r="R275" s="217"/>
    </row>
    <row r="276" spans="1:18" s="216" customFormat="1" ht="12.75">
      <c r="A276" s="239">
        <v>7421612</v>
      </c>
      <c r="B276" s="240" t="s">
        <v>84</v>
      </c>
      <c r="C276" s="241">
        <v>60756.72</v>
      </c>
      <c r="D276" s="241"/>
      <c r="E276" s="241"/>
      <c r="F276" s="241"/>
      <c r="G276" s="241">
        <v>60756.72</v>
      </c>
      <c r="H276" s="241"/>
      <c r="I276" s="224"/>
      <c r="J276" s="224"/>
      <c r="K276" s="224"/>
      <c r="L276" s="224"/>
      <c r="M276" s="214">
        <v>65000</v>
      </c>
      <c r="N276" s="215">
        <f t="shared" si="79"/>
        <v>93.47187692307692</v>
      </c>
      <c r="O276" s="215">
        <f t="shared" si="80"/>
        <v>0.010325560789940926</v>
      </c>
      <c r="Q276" s="217">
        <f t="shared" si="70"/>
        <v>0</v>
      </c>
      <c r="R276" s="217"/>
    </row>
    <row r="277" spans="1:18" s="216" customFormat="1" ht="12.75">
      <c r="A277" s="242">
        <v>744100</v>
      </c>
      <c r="B277" s="228" t="s">
        <v>269</v>
      </c>
      <c r="C277" s="243">
        <v>204045.5</v>
      </c>
      <c r="D277" s="243">
        <f aca="true" t="shared" si="86" ref="D277:L277">D278</f>
        <v>0</v>
      </c>
      <c r="E277" s="243">
        <f t="shared" si="86"/>
        <v>0</v>
      </c>
      <c r="F277" s="243">
        <f t="shared" si="86"/>
        <v>0</v>
      </c>
      <c r="G277" s="243">
        <f t="shared" si="86"/>
        <v>0</v>
      </c>
      <c r="H277" s="243">
        <f t="shared" si="86"/>
        <v>0</v>
      </c>
      <c r="I277" s="243">
        <f t="shared" si="86"/>
        <v>0</v>
      </c>
      <c r="J277" s="243">
        <f t="shared" si="86"/>
        <v>0</v>
      </c>
      <c r="K277" s="243">
        <v>204045.5</v>
      </c>
      <c r="L277" s="244">
        <f t="shared" si="86"/>
        <v>0</v>
      </c>
      <c r="M277" s="248">
        <v>205000</v>
      </c>
      <c r="N277" s="215">
        <f t="shared" si="79"/>
        <v>99.53439024390244</v>
      </c>
      <c r="O277" s="215">
        <f t="shared" si="80"/>
        <v>0.034677385714105224</v>
      </c>
      <c r="Q277" s="217">
        <f t="shared" si="70"/>
        <v>0</v>
      </c>
      <c r="R277" s="217"/>
    </row>
    <row r="278" spans="1:18" s="216" customFormat="1" ht="12.75" hidden="1">
      <c r="A278" s="240">
        <v>744161</v>
      </c>
      <c r="B278" s="240" t="s">
        <v>244</v>
      </c>
      <c r="C278" s="245"/>
      <c r="D278" s="245"/>
      <c r="E278" s="245"/>
      <c r="F278" s="245"/>
      <c r="G278" s="245"/>
      <c r="H278" s="245"/>
      <c r="I278" s="224"/>
      <c r="J278" s="224"/>
      <c r="K278" s="224"/>
      <c r="L278" s="224"/>
      <c r="M278" s="214"/>
      <c r="N278" s="215" t="e">
        <f t="shared" si="79"/>
        <v>#DIV/0!</v>
      </c>
      <c r="O278" s="215">
        <f t="shared" si="80"/>
        <v>0</v>
      </c>
      <c r="Q278" s="217">
        <f t="shared" si="70"/>
        <v>0</v>
      </c>
      <c r="R278" s="217"/>
    </row>
    <row r="279" spans="1:18" s="216" customFormat="1" ht="12.75" hidden="1">
      <c r="A279" s="242"/>
      <c r="B279" s="242"/>
      <c r="C279" s="243"/>
      <c r="D279" s="243"/>
      <c r="E279" s="243"/>
      <c r="F279" s="243"/>
      <c r="G279" s="243"/>
      <c r="H279" s="243"/>
      <c r="I279" s="243"/>
      <c r="J279" s="243"/>
      <c r="K279" s="243"/>
      <c r="L279" s="244"/>
      <c r="M279" s="214"/>
      <c r="N279" s="215" t="e">
        <f t="shared" si="79"/>
        <v>#DIV/0!</v>
      </c>
      <c r="O279" s="215">
        <f t="shared" si="80"/>
        <v>0</v>
      </c>
      <c r="Q279" s="217">
        <f t="shared" si="70"/>
        <v>0</v>
      </c>
      <c r="R279" s="217"/>
    </row>
    <row r="280" spans="1:18" s="216" customFormat="1" ht="12.75" hidden="1">
      <c r="A280" s="239">
        <v>74516104</v>
      </c>
      <c r="B280" s="240" t="s">
        <v>245</v>
      </c>
      <c r="C280" s="245">
        <v>346970.08</v>
      </c>
      <c r="D280" s="245"/>
      <c r="E280" s="245"/>
      <c r="F280" s="245"/>
      <c r="G280" s="245">
        <v>346970.08</v>
      </c>
      <c r="H280" s="245"/>
      <c r="I280" s="224"/>
      <c r="J280" s="224"/>
      <c r="K280" s="224"/>
      <c r="L280" s="224"/>
      <c r="M280" s="214"/>
      <c r="N280" s="215" t="e">
        <f t="shared" si="79"/>
        <v>#DIV/0!</v>
      </c>
      <c r="O280" s="215">
        <f t="shared" si="80"/>
        <v>0.05896731511066869</v>
      </c>
      <c r="Q280" s="217">
        <f t="shared" si="70"/>
        <v>0</v>
      </c>
      <c r="R280" s="217"/>
    </row>
    <row r="281" spans="1:18" s="216" customFormat="1" ht="12.75" hidden="1">
      <c r="A281" s="239">
        <v>74516104</v>
      </c>
      <c r="B281" s="240" t="s">
        <v>246</v>
      </c>
      <c r="C281" s="245">
        <v>208851.16</v>
      </c>
      <c r="D281" s="245"/>
      <c r="E281" s="245"/>
      <c r="F281" s="245"/>
      <c r="G281" s="245">
        <v>208851.16</v>
      </c>
      <c r="H281" s="245"/>
      <c r="I281" s="224"/>
      <c r="J281" s="224"/>
      <c r="K281" s="224"/>
      <c r="L281" s="224"/>
      <c r="M281" s="214"/>
      <c r="N281" s="215" t="e">
        <f t="shared" si="79"/>
        <v>#DIV/0!</v>
      </c>
      <c r="O281" s="215">
        <f t="shared" si="80"/>
        <v>0.03549410416871877</v>
      </c>
      <c r="Q281" s="217">
        <f t="shared" si="70"/>
        <v>0</v>
      </c>
      <c r="R281" s="217"/>
    </row>
    <row r="282" spans="1:18" s="216" customFormat="1" ht="12.75" hidden="1">
      <c r="A282" s="239">
        <v>74516106</v>
      </c>
      <c r="B282" s="240" t="s">
        <v>247</v>
      </c>
      <c r="C282" s="245"/>
      <c r="D282" s="245"/>
      <c r="E282" s="245"/>
      <c r="F282" s="245"/>
      <c r="G282" s="245"/>
      <c r="H282" s="245"/>
      <c r="I282" s="224"/>
      <c r="J282" s="224"/>
      <c r="K282" s="224"/>
      <c r="L282" s="224"/>
      <c r="M282" s="214"/>
      <c r="N282" s="215" t="e">
        <f t="shared" si="79"/>
        <v>#DIV/0!</v>
      </c>
      <c r="O282" s="215">
        <f t="shared" si="80"/>
        <v>0</v>
      </c>
      <c r="Q282" s="217">
        <f aca="true" t="shared" si="87" ref="Q282:Q334">C282-D282-E282-F282-G282-H282-I282-J282-K282-L282</f>
        <v>0</v>
      </c>
      <c r="R282" s="217"/>
    </row>
    <row r="283" spans="1:18" s="216" customFormat="1" ht="12.75">
      <c r="A283" s="242">
        <v>745100</v>
      </c>
      <c r="B283" s="242" t="s">
        <v>248</v>
      </c>
      <c r="C283" s="243">
        <v>831602.48</v>
      </c>
      <c r="D283" s="243">
        <f aca="true" t="shared" si="88" ref="D283:L283">SUM(D280:D282)</f>
        <v>0</v>
      </c>
      <c r="E283" s="243">
        <f t="shared" si="88"/>
        <v>0</v>
      </c>
      <c r="F283" s="243">
        <f t="shared" si="88"/>
        <v>0</v>
      </c>
      <c r="G283" s="243">
        <v>831602.48</v>
      </c>
      <c r="H283" s="243">
        <f t="shared" si="88"/>
        <v>0</v>
      </c>
      <c r="I283" s="243">
        <f t="shared" si="88"/>
        <v>0</v>
      </c>
      <c r="J283" s="243"/>
      <c r="K283" s="243">
        <f t="shared" si="88"/>
        <v>0</v>
      </c>
      <c r="L283" s="244">
        <f t="shared" si="88"/>
        <v>0</v>
      </c>
      <c r="M283" s="248">
        <v>832000</v>
      </c>
      <c r="N283" s="215">
        <f t="shared" si="79"/>
        <v>99.95222115384615</v>
      </c>
      <c r="O283" s="215">
        <f t="shared" si="80"/>
        <v>0.14133024232225888</v>
      </c>
      <c r="Q283" s="217">
        <f t="shared" si="87"/>
        <v>0</v>
      </c>
      <c r="R283" s="217"/>
    </row>
    <row r="284" spans="1:18" s="216" customFormat="1" ht="12.75" hidden="1">
      <c r="A284" s="240">
        <v>7711111</v>
      </c>
      <c r="B284" s="240" t="s">
        <v>249</v>
      </c>
      <c r="C284" s="245"/>
      <c r="D284" s="245"/>
      <c r="E284" s="245"/>
      <c r="F284" s="245"/>
      <c r="G284" s="245"/>
      <c r="H284" s="245"/>
      <c r="I284" s="245"/>
      <c r="J284" s="224"/>
      <c r="K284" s="224"/>
      <c r="L284" s="224"/>
      <c r="M284" s="214"/>
      <c r="N284" s="215" t="e">
        <f t="shared" si="79"/>
        <v>#DIV/0!</v>
      </c>
      <c r="O284" s="215">
        <f t="shared" si="80"/>
        <v>0</v>
      </c>
      <c r="Q284" s="217">
        <f t="shared" si="87"/>
        <v>0</v>
      </c>
      <c r="R284" s="217"/>
    </row>
    <row r="285" spans="1:18" s="216" customFormat="1" ht="12.75" hidden="1">
      <c r="A285" s="240">
        <v>7711112</v>
      </c>
      <c r="B285" s="240" t="s">
        <v>250</v>
      </c>
      <c r="C285" s="245"/>
      <c r="D285" s="245">
        <v>0.01</v>
      </c>
      <c r="E285" s="245"/>
      <c r="F285" s="245"/>
      <c r="G285" s="245"/>
      <c r="H285" s="245"/>
      <c r="I285" s="224"/>
      <c r="J285" s="224"/>
      <c r="K285" s="224"/>
      <c r="L285" s="224"/>
      <c r="M285" s="214"/>
      <c r="N285" s="215" t="e">
        <f t="shared" si="79"/>
        <v>#DIV/0!</v>
      </c>
      <c r="O285" s="215">
        <f t="shared" si="80"/>
        <v>0</v>
      </c>
      <c r="Q285" s="217">
        <f t="shared" si="87"/>
        <v>-0.01</v>
      </c>
      <c r="R285" s="217"/>
    </row>
    <row r="286" spans="1:18" s="216" customFormat="1" ht="12.75" hidden="1">
      <c r="A286" s="240">
        <v>7711114</v>
      </c>
      <c r="B286" s="240" t="s">
        <v>251</v>
      </c>
      <c r="C286" s="245"/>
      <c r="D286" s="245"/>
      <c r="E286" s="245"/>
      <c r="F286" s="245"/>
      <c r="G286" s="245"/>
      <c r="H286" s="245"/>
      <c r="I286" s="245"/>
      <c r="J286" s="224"/>
      <c r="K286" s="224"/>
      <c r="L286" s="224"/>
      <c r="M286" s="214"/>
      <c r="N286" s="215" t="e">
        <f t="shared" si="79"/>
        <v>#DIV/0!</v>
      </c>
      <c r="O286" s="215">
        <f t="shared" si="80"/>
        <v>0</v>
      </c>
      <c r="Q286" s="217">
        <f t="shared" si="87"/>
        <v>0</v>
      </c>
      <c r="R286" s="217"/>
    </row>
    <row r="287" spans="1:18" s="216" customFormat="1" ht="12.75">
      <c r="A287" s="242">
        <v>771100</v>
      </c>
      <c r="B287" s="242" t="s">
        <v>252</v>
      </c>
      <c r="C287" s="243">
        <v>0.12</v>
      </c>
      <c r="D287" s="243">
        <v>0</v>
      </c>
      <c r="E287" s="243">
        <f aca="true" t="shared" si="89" ref="E287:L287">SUM(E284:E286)</f>
        <v>0</v>
      </c>
      <c r="F287" s="243">
        <f t="shared" si="89"/>
        <v>0</v>
      </c>
      <c r="G287" s="243">
        <f t="shared" si="89"/>
        <v>0</v>
      </c>
      <c r="H287" s="243">
        <f t="shared" si="89"/>
        <v>0</v>
      </c>
      <c r="I287" s="243">
        <v>0.12</v>
      </c>
      <c r="J287" s="243"/>
      <c r="K287" s="243">
        <f t="shared" si="89"/>
        <v>0</v>
      </c>
      <c r="L287" s="244">
        <f t="shared" si="89"/>
        <v>0</v>
      </c>
      <c r="M287" s="214"/>
      <c r="N287" s="215">
        <v>0</v>
      </c>
      <c r="O287" s="215">
        <f t="shared" si="80"/>
        <v>2.0393913542286536E-08</v>
      </c>
      <c r="Q287" s="217">
        <f t="shared" si="87"/>
        <v>0</v>
      </c>
      <c r="R287" s="217"/>
    </row>
    <row r="288" spans="1:18" s="216" customFormat="1" ht="22.5" hidden="1">
      <c r="A288" s="246">
        <v>7721111</v>
      </c>
      <c r="B288" s="247" t="s">
        <v>253</v>
      </c>
      <c r="C288" s="243"/>
      <c r="D288" s="245"/>
      <c r="E288" s="243"/>
      <c r="F288" s="243"/>
      <c r="G288" s="243"/>
      <c r="H288" s="245"/>
      <c r="I288" s="245">
        <v>503810.61</v>
      </c>
      <c r="J288" s="224"/>
      <c r="K288" s="224"/>
      <c r="L288" s="224"/>
      <c r="M288" s="214"/>
      <c r="N288" s="215" t="e">
        <f t="shared" si="79"/>
        <v>#DIV/0!</v>
      </c>
      <c r="O288" s="215">
        <f t="shared" si="80"/>
        <v>0</v>
      </c>
      <c r="Q288" s="217">
        <f t="shared" si="87"/>
        <v>-503810.61</v>
      </c>
      <c r="R288" s="217"/>
    </row>
    <row r="289" spans="1:18" s="216" customFormat="1" ht="13.5" thickBot="1">
      <c r="A289" s="242">
        <v>772100</v>
      </c>
      <c r="B289" s="228" t="s">
        <v>270</v>
      </c>
      <c r="C289" s="243">
        <v>503810.61</v>
      </c>
      <c r="D289" s="243">
        <f aca="true" t="shared" si="90" ref="D289:L289">SUM(D288)</f>
        <v>0</v>
      </c>
      <c r="E289" s="243">
        <f t="shared" si="90"/>
        <v>0</v>
      </c>
      <c r="F289" s="243">
        <f t="shared" si="90"/>
        <v>0</v>
      </c>
      <c r="G289" s="243">
        <f t="shared" si="90"/>
        <v>0</v>
      </c>
      <c r="H289" s="243">
        <f t="shared" si="90"/>
        <v>0</v>
      </c>
      <c r="I289" s="243">
        <v>503810.61</v>
      </c>
      <c r="J289" s="243"/>
      <c r="K289" s="243">
        <f t="shared" si="90"/>
        <v>0</v>
      </c>
      <c r="L289" s="244">
        <f t="shared" si="90"/>
        <v>0</v>
      </c>
      <c r="M289" s="248">
        <v>504000</v>
      </c>
      <c r="N289" s="215">
        <f t="shared" si="79"/>
        <v>99.96242261904762</v>
      </c>
      <c r="O289" s="215">
        <f t="shared" si="80"/>
        <v>0.08562225018355533</v>
      </c>
      <c r="Q289" s="217">
        <f t="shared" si="87"/>
        <v>0</v>
      </c>
      <c r="R289" s="217"/>
    </row>
    <row r="290" spans="1:17" ht="13.5" thickBot="1">
      <c r="A290" s="12">
        <v>781100</v>
      </c>
      <c r="B290" s="12" t="s">
        <v>70</v>
      </c>
      <c r="C290" s="153">
        <f>C291+C292+C293+C294+C295+C296+C297+C298+C299+C300+C301+C302+C303+C304+C305+C306+C307</f>
        <v>501154174.85</v>
      </c>
      <c r="D290" s="153">
        <f aca="true" t="shared" si="91" ref="D290:L290">D291+D292+D293+D294+D295+D296+D297+D298+D299+D300+D301+D302+D303+D304+D305+D306+D307</f>
        <v>495887124.85</v>
      </c>
      <c r="E290" s="153">
        <f t="shared" si="91"/>
        <v>5267050</v>
      </c>
      <c r="F290" s="153">
        <f t="shared" si="91"/>
        <v>0</v>
      </c>
      <c r="G290" s="153">
        <f t="shared" si="91"/>
        <v>0</v>
      </c>
      <c r="H290" s="190">
        <f t="shared" si="91"/>
        <v>0</v>
      </c>
      <c r="I290" s="153">
        <f t="shared" si="91"/>
        <v>0</v>
      </c>
      <c r="J290" s="153">
        <f t="shared" si="91"/>
        <v>0</v>
      </c>
      <c r="K290" s="153">
        <f t="shared" si="91"/>
        <v>0</v>
      </c>
      <c r="L290" s="154">
        <f t="shared" si="91"/>
        <v>0</v>
      </c>
      <c r="M290" s="248">
        <f>M291+M292+M293+M294+M295+M296+M297+M298+M299+M300+M301+M302+M303+M304+M305+M306+M307</f>
        <v>518951000</v>
      </c>
      <c r="N290" s="215">
        <f t="shared" si="79"/>
        <v>96.57061550127084</v>
      </c>
      <c r="O290" s="215">
        <f t="shared" si="80"/>
        <v>85.17079094372374</v>
      </c>
      <c r="Q290" s="11">
        <f t="shared" si="87"/>
        <v>0</v>
      </c>
    </row>
    <row r="291" spans="1:17" ht="12.75">
      <c r="A291" s="25">
        <v>781111101</v>
      </c>
      <c r="B291" s="26" t="s">
        <v>295</v>
      </c>
      <c r="C291" s="15">
        <v>350050237.87</v>
      </c>
      <c r="D291" s="15">
        <v>350050237.87</v>
      </c>
      <c r="E291" s="15"/>
      <c r="F291" s="15"/>
      <c r="G291" s="15"/>
      <c r="H291" s="170"/>
      <c r="I291" s="16"/>
      <c r="J291" s="16"/>
      <c r="K291" s="16"/>
      <c r="L291" s="24"/>
      <c r="M291" s="214">
        <v>351522000</v>
      </c>
      <c r="N291" s="215">
        <f t="shared" si="79"/>
        <v>99.58131720631995</v>
      </c>
      <c r="O291" s="215">
        <f t="shared" si="80"/>
        <v>59.49078572148013</v>
      </c>
      <c r="Q291" s="11">
        <f t="shared" si="87"/>
        <v>0</v>
      </c>
    </row>
    <row r="292" spans="1:17" ht="12.75">
      <c r="A292" s="25">
        <v>781111102</v>
      </c>
      <c r="B292" s="26" t="s">
        <v>296</v>
      </c>
      <c r="C292" s="15">
        <v>10323584.39</v>
      </c>
      <c r="D292" s="15">
        <v>10323584.39</v>
      </c>
      <c r="E292" s="15"/>
      <c r="F292" s="15"/>
      <c r="G292" s="15"/>
      <c r="H292" s="170"/>
      <c r="I292" s="16"/>
      <c r="J292" s="16"/>
      <c r="K292" s="16"/>
      <c r="L292" s="16"/>
      <c r="M292" s="214">
        <v>10786000</v>
      </c>
      <c r="N292" s="215">
        <f t="shared" si="79"/>
        <v>95.71281652141666</v>
      </c>
      <c r="O292" s="215">
        <f t="shared" si="80"/>
        <v>1.7544857291346574</v>
      </c>
      <c r="Q292" s="11">
        <f t="shared" si="87"/>
        <v>0</v>
      </c>
    </row>
    <row r="293" spans="1:17" ht="12.75">
      <c r="A293" s="25">
        <v>781111103</v>
      </c>
      <c r="B293" s="26" t="s">
        <v>297</v>
      </c>
      <c r="C293" s="15">
        <v>19254225.45</v>
      </c>
      <c r="D293" s="15">
        <v>19254225.45</v>
      </c>
      <c r="E293" s="15"/>
      <c r="F293" s="15"/>
      <c r="G293" s="15"/>
      <c r="H293" s="170"/>
      <c r="I293" s="16"/>
      <c r="J293" s="16"/>
      <c r="K293" s="16"/>
      <c r="L293" s="16"/>
      <c r="M293" s="214">
        <v>23082000</v>
      </c>
      <c r="N293" s="215">
        <f t="shared" si="79"/>
        <v>83.41662529243567</v>
      </c>
      <c r="O293" s="215">
        <f t="shared" si="80"/>
        <v>3.272241742924942</v>
      </c>
      <c r="Q293" s="11">
        <f t="shared" si="87"/>
        <v>0</v>
      </c>
    </row>
    <row r="294" spans="1:17" ht="12.75">
      <c r="A294" s="25">
        <v>781111104</v>
      </c>
      <c r="B294" s="26" t="s">
        <v>298</v>
      </c>
      <c r="C294" s="15">
        <v>21904290</v>
      </c>
      <c r="D294" s="15">
        <v>21904290</v>
      </c>
      <c r="E294" s="15"/>
      <c r="F294" s="15"/>
      <c r="G294" s="15"/>
      <c r="H294" s="170"/>
      <c r="I294" s="16"/>
      <c r="J294" s="16"/>
      <c r="K294" s="16"/>
      <c r="L294" s="16"/>
      <c r="M294" s="13">
        <v>23934000</v>
      </c>
      <c r="N294" s="215">
        <f t="shared" si="79"/>
        <v>91.51955377287541</v>
      </c>
      <c r="O294" s="215">
        <f t="shared" si="80"/>
        <v>3.722618303876429</v>
      </c>
      <c r="Q294" s="11">
        <f t="shared" si="87"/>
        <v>0</v>
      </c>
    </row>
    <row r="295" spans="1:17" ht="12.75">
      <c r="A295" s="25">
        <v>781111105</v>
      </c>
      <c r="B295" s="26" t="s">
        <v>299</v>
      </c>
      <c r="C295" s="15">
        <v>10959305</v>
      </c>
      <c r="D295" s="15">
        <v>10959305</v>
      </c>
      <c r="E295" s="15"/>
      <c r="F295" s="15"/>
      <c r="G295" s="15"/>
      <c r="H295" s="170"/>
      <c r="I295" s="16"/>
      <c r="J295" s="16"/>
      <c r="K295" s="16"/>
      <c r="L295" s="16"/>
      <c r="M295" s="13">
        <v>11833000</v>
      </c>
      <c r="N295" s="215">
        <f t="shared" si="79"/>
        <v>92.61645398461928</v>
      </c>
      <c r="O295" s="215">
        <f t="shared" si="80"/>
        <v>1.862525988779571</v>
      </c>
      <c r="Q295" s="11">
        <f t="shared" si="87"/>
        <v>0</v>
      </c>
    </row>
    <row r="296" spans="1:17" ht="12.75">
      <c r="A296" s="25">
        <v>781111106</v>
      </c>
      <c r="B296" s="26" t="s">
        <v>300</v>
      </c>
      <c r="C296" s="15">
        <v>22300000.04</v>
      </c>
      <c r="D296" s="15">
        <v>22300000.04</v>
      </c>
      <c r="E296" s="15"/>
      <c r="F296" s="15"/>
      <c r="G296" s="15"/>
      <c r="H296" s="170"/>
      <c r="I296" s="16"/>
      <c r="J296" s="16"/>
      <c r="K296" s="16"/>
      <c r="L296" s="16"/>
      <c r="M296" s="13">
        <v>22300000</v>
      </c>
      <c r="N296" s="215">
        <f t="shared" si="79"/>
        <v>100.0000001793722</v>
      </c>
      <c r="O296" s="215">
        <f t="shared" si="80"/>
        <v>3.7898689400728856</v>
      </c>
      <c r="Q296" s="11">
        <f t="shared" si="87"/>
        <v>0</v>
      </c>
    </row>
    <row r="297" spans="1:17" ht="12.75">
      <c r="A297" s="25">
        <v>781111113</v>
      </c>
      <c r="B297" s="26" t="s">
        <v>301</v>
      </c>
      <c r="C297" s="15">
        <f>6120999.5+546868</f>
        <v>6667867.5</v>
      </c>
      <c r="D297" s="15">
        <f>6120999.5+546868</f>
        <v>6667867.5</v>
      </c>
      <c r="E297" s="15"/>
      <c r="F297" s="15"/>
      <c r="G297" s="15"/>
      <c r="H297" s="170"/>
      <c r="I297" s="16"/>
      <c r="J297" s="16"/>
      <c r="K297" s="16"/>
      <c r="L297" s="16"/>
      <c r="M297" s="13">
        <v>6668000</v>
      </c>
      <c r="N297" s="215">
        <f t="shared" si="79"/>
        <v>99.99801289742052</v>
      </c>
      <c r="O297" s="215">
        <f t="shared" si="80"/>
        <v>1.133199277553519</v>
      </c>
      <c r="Q297" s="11">
        <f t="shared" si="87"/>
        <v>0</v>
      </c>
    </row>
    <row r="298" spans="1:17" ht="12.75">
      <c r="A298" s="25">
        <v>781111114</v>
      </c>
      <c r="B298" s="26" t="s">
        <v>302</v>
      </c>
      <c r="C298" s="15">
        <v>414950.67</v>
      </c>
      <c r="D298" s="15">
        <v>414950.67</v>
      </c>
      <c r="E298" s="15"/>
      <c r="F298" s="15"/>
      <c r="G298" s="15"/>
      <c r="H298" s="170"/>
      <c r="I298" s="16"/>
      <c r="J298" s="16"/>
      <c r="K298" s="16"/>
      <c r="L298" s="16"/>
      <c r="M298" s="13">
        <v>415000</v>
      </c>
      <c r="N298" s="215">
        <f t="shared" si="79"/>
        <v>99.98811325301205</v>
      </c>
      <c r="O298" s="215">
        <f t="shared" si="80"/>
        <v>0.07052056740244893</v>
      </c>
      <c r="Q298" s="11">
        <f t="shared" si="87"/>
        <v>0</v>
      </c>
    </row>
    <row r="299" spans="1:17" ht="12.75">
      <c r="A299" s="25">
        <v>781111115</v>
      </c>
      <c r="B299" s="26" t="s">
        <v>303</v>
      </c>
      <c r="C299" s="15">
        <v>140757</v>
      </c>
      <c r="D299" s="15">
        <v>140757</v>
      </c>
      <c r="E299" s="15"/>
      <c r="F299" s="15"/>
      <c r="G299" s="15"/>
      <c r="H299" s="170"/>
      <c r="I299" s="16"/>
      <c r="J299" s="16"/>
      <c r="K299" s="16"/>
      <c r="L299" s="16"/>
      <c r="M299" s="13">
        <v>141000</v>
      </c>
      <c r="N299" s="215">
        <f t="shared" si="79"/>
        <v>99.82765957446809</v>
      </c>
      <c r="O299" s="215">
        <f t="shared" si="80"/>
        <v>0.02392155073726355</v>
      </c>
      <c r="Q299" s="11">
        <f t="shared" si="87"/>
        <v>0</v>
      </c>
    </row>
    <row r="300" spans="1:17" ht="12.75">
      <c r="A300" s="25">
        <v>781111207</v>
      </c>
      <c r="B300" s="26" t="s">
        <v>304</v>
      </c>
      <c r="C300" s="15">
        <v>7053889.98</v>
      </c>
      <c r="D300" s="15">
        <v>7053889.98</v>
      </c>
      <c r="E300" s="15"/>
      <c r="F300" s="15"/>
      <c r="G300" s="15"/>
      <c r="H300" s="170"/>
      <c r="I300" s="16"/>
      <c r="J300" s="16"/>
      <c r="K300" s="16"/>
      <c r="L300" s="16"/>
      <c r="M300" s="13">
        <v>7054000</v>
      </c>
      <c r="N300" s="215">
        <f t="shared" si="79"/>
        <v>99.99844031755033</v>
      </c>
      <c r="O300" s="215">
        <f t="shared" si="80"/>
        <v>1.1988035199076774</v>
      </c>
      <c r="Q300" s="11">
        <f t="shared" si="87"/>
        <v>0</v>
      </c>
    </row>
    <row r="301" spans="1:17" ht="12.75">
      <c r="A301" s="25">
        <v>781111301</v>
      </c>
      <c r="B301" s="26" t="s">
        <v>305</v>
      </c>
      <c r="C301" s="15">
        <v>42085277.18</v>
      </c>
      <c r="D301" s="15">
        <v>42085277.18</v>
      </c>
      <c r="E301" s="15"/>
      <c r="F301" s="15"/>
      <c r="G301" s="15"/>
      <c r="H301" s="170"/>
      <c r="I301" s="16"/>
      <c r="J301" s="16"/>
      <c r="K301" s="16"/>
      <c r="L301" s="16"/>
      <c r="M301" s="13">
        <v>48225000</v>
      </c>
      <c r="N301" s="215">
        <f t="shared" si="79"/>
        <v>87.26858927941939</v>
      </c>
      <c r="O301" s="215">
        <f t="shared" si="80"/>
        <v>7.152362535100703</v>
      </c>
      <c r="Q301" s="11">
        <f t="shared" si="87"/>
        <v>0</v>
      </c>
    </row>
    <row r="302" spans="1:17" ht="12.75">
      <c r="A302" s="25">
        <v>781111302</v>
      </c>
      <c r="B302" s="26" t="s">
        <v>306</v>
      </c>
      <c r="C302" s="15">
        <v>966137.18</v>
      </c>
      <c r="D302" s="15">
        <v>966137.18</v>
      </c>
      <c r="E302" s="15"/>
      <c r="F302" s="15"/>
      <c r="G302" s="15"/>
      <c r="H302" s="170"/>
      <c r="I302" s="16"/>
      <c r="J302" s="16"/>
      <c r="K302" s="16"/>
      <c r="L302" s="16"/>
      <c r="M302" s="13">
        <v>1356000</v>
      </c>
      <c r="N302" s="215">
        <f t="shared" si="79"/>
        <v>71.24905457227139</v>
      </c>
      <c r="O302" s="215">
        <f t="shared" si="80"/>
        <v>0.16419431765757103</v>
      </c>
      <c r="Q302" s="11">
        <f t="shared" si="87"/>
        <v>0</v>
      </c>
    </row>
    <row r="303" spans="1:17" ht="12.75">
      <c r="A303" s="25">
        <v>781111304</v>
      </c>
      <c r="B303" s="26" t="s">
        <v>307</v>
      </c>
      <c r="C303" s="15">
        <v>2700491.59</v>
      </c>
      <c r="D303" s="15">
        <v>2700491.59</v>
      </c>
      <c r="E303" s="15"/>
      <c r="F303" s="15"/>
      <c r="G303" s="15"/>
      <c r="H303" s="170"/>
      <c r="I303" s="16"/>
      <c r="J303" s="16"/>
      <c r="K303" s="16"/>
      <c r="L303" s="16"/>
      <c r="M303" s="13">
        <v>4164000</v>
      </c>
      <c r="N303" s="215">
        <f t="shared" si="79"/>
        <v>64.85330427473583</v>
      </c>
      <c r="O303" s="215">
        <f t="shared" si="80"/>
        <v>0.4589466000677658</v>
      </c>
      <c r="Q303" s="11">
        <f t="shared" si="87"/>
        <v>0</v>
      </c>
    </row>
    <row r="304" spans="1:17" ht="12.75">
      <c r="A304" s="25">
        <v>781111313</v>
      </c>
      <c r="B304" s="26" t="s">
        <v>308</v>
      </c>
      <c r="C304" s="15">
        <f>778393+85326</f>
        <v>863719</v>
      </c>
      <c r="D304" s="15">
        <f>778393+85326</f>
        <v>863719</v>
      </c>
      <c r="E304" s="15"/>
      <c r="F304" s="15"/>
      <c r="G304" s="15"/>
      <c r="H304" s="170"/>
      <c r="I304" s="16"/>
      <c r="J304" s="16"/>
      <c r="K304" s="16"/>
      <c r="L304" s="16"/>
      <c r="M304" s="13">
        <v>864000</v>
      </c>
      <c r="N304" s="215">
        <f t="shared" si="79"/>
        <v>99.96747685185186</v>
      </c>
      <c r="O304" s="215">
        <f t="shared" si="80"/>
        <v>0.1467884217569182</v>
      </c>
      <c r="Q304" s="11">
        <f t="shared" si="87"/>
        <v>0</v>
      </c>
    </row>
    <row r="305" spans="1:17" ht="12.75">
      <c r="A305" s="25">
        <v>781111314</v>
      </c>
      <c r="B305" s="26" t="s">
        <v>309</v>
      </c>
      <c r="C305" s="15">
        <v>202392</v>
      </c>
      <c r="D305" s="15">
        <v>202392</v>
      </c>
      <c r="E305" s="15"/>
      <c r="F305" s="15"/>
      <c r="G305" s="15"/>
      <c r="H305" s="170"/>
      <c r="I305" s="16"/>
      <c r="J305" s="16"/>
      <c r="K305" s="16"/>
      <c r="L305" s="16"/>
      <c r="M305" s="13">
        <v>202000</v>
      </c>
      <c r="N305" s="215">
        <f t="shared" si="79"/>
        <v>100.19405940594059</v>
      </c>
      <c r="O305" s="215">
        <f t="shared" si="80"/>
        <v>0.03439637458042047</v>
      </c>
      <c r="Q305" s="11">
        <f t="shared" si="87"/>
        <v>0</v>
      </c>
    </row>
    <row r="306" spans="1:17" ht="12.75">
      <c r="A306" s="25">
        <v>781111408</v>
      </c>
      <c r="B306" s="20" t="s">
        <v>271</v>
      </c>
      <c r="C306" s="15">
        <f>3238820+1637050</f>
        <v>4875870</v>
      </c>
      <c r="D306" s="15">
        <f>D308+D310</f>
        <v>0</v>
      </c>
      <c r="E306" s="15">
        <f>3238820+1637050</f>
        <v>4875870</v>
      </c>
      <c r="F306" s="15"/>
      <c r="G306" s="15"/>
      <c r="H306" s="170"/>
      <c r="I306" s="16"/>
      <c r="J306" s="16"/>
      <c r="K306" s="16"/>
      <c r="L306" s="16"/>
      <c r="M306" s="13">
        <v>5976000</v>
      </c>
      <c r="N306" s="215">
        <f t="shared" si="79"/>
        <v>81.59086345381526</v>
      </c>
      <c r="O306" s="215">
        <f t="shared" si="80"/>
        <v>0.8286505935285721</v>
      </c>
      <c r="Q306" s="11">
        <f t="shared" si="87"/>
        <v>0</v>
      </c>
    </row>
    <row r="307" spans="1:17" ht="12.75">
      <c r="A307" s="25">
        <v>781111409</v>
      </c>
      <c r="B307" s="20" t="s">
        <v>272</v>
      </c>
      <c r="C307" s="15">
        <f>330205+60975</f>
        <v>391180</v>
      </c>
      <c r="D307" s="15">
        <f>D309+D311</f>
        <v>0</v>
      </c>
      <c r="E307" s="15">
        <f>330205+60975</f>
        <v>391180</v>
      </c>
      <c r="F307" s="15"/>
      <c r="G307" s="15"/>
      <c r="H307" s="170"/>
      <c r="I307" s="16"/>
      <c r="J307" s="16"/>
      <c r="K307" s="16"/>
      <c r="L307" s="16"/>
      <c r="M307" s="13">
        <v>429000</v>
      </c>
      <c r="N307" s="215">
        <f t="shared" si="79"/>
        <v>91.18414918414918</v>
      </c>
      <c r="O307" s="215">
        <f t="shared" si="80"/>
        <v>0.06648075916226372</v>
      </c>
      <c r="Q307" s="11">
        <f t="shared" si="87"/>
        <v>0</v>
      </c>
    </row>
    <row r="308" spans="1:17" ht="12.75" hidden="1">
      <c r="A308" s="25">
        <v>781111408</v>
      </c>
      <c r="B308" s="26" t="s">
        <v>254</v>
      </c>
      <c r="C308" s="15">
        <v>1642940</v>
      </c>
      <c r="D308" s="15"/>
      <c r="E308" s="15">
        <v>1642940</v>
      </c>
      <c r="F308" s="15"/>
      <c r="G308" s="15"/>
      <c r="H308" s="170"/>
      <c r="I308" s="16"/>
      <c r="J308" s="16"/>
      <c r="K308" s="16"/>
      <c r="L308" s="16"/>
      <c r="M308" s="13"/>
      <c r="N308" s="215" t="e">
        <f t="shared" si="79"/>
        <v>#DIV/0!</v>
      </c>
      <c r="O308" s="215">
        <f t="shared" si="80"/>
        <v>0.27921646929303534</v>
      </c>
      <c r="Q308" s="11">
        <f t="shared" si="87"/>
        <v>0</v>
      </c>
    </row>
    <row r="309" spans="1:17" ht="12.75" hidden="1">
      <c r="A309" s="25">
        <v>781111409</v>
      </c>
      <c r="B309" s="26" t="s">
        <v>255</v>
      </c>
      <c r="C309" s="15">
        <v>166810</v>
      </c>
      <c r="D309" s="15"/>
      <c r="E309" s="15">
        <v>166810</v>
      </c>
      <c r="F309" s="15"/>
      <c r="G309" s="15"/>
      <c r="H309" s="170"/>
      <c r="I309" s="16"/>
      <c r="J309" s="16"/>
      <c r="K309" s="16"/>
      <c r="L309" s="16"/>
      <c r="M309" s="13"/>
      <c r="N309" s="215" t="e">
        <f t="shared" si="79"/>
        <v>#DIV/0!</v>
      </c>
      <c r="O309" s="215">
        <f t="shared" si="80"/>
        <v>0.028349239316573474</v>
      </c>
      <c r="Q309" s="11">
        <f t="shared" si="87"/>
        <v>0</v>
      </c>
    </row>
    <row r="310" spans="1:17" ht="12.75" hidden="1">
      <c r="A310" s="25">
        <v>781111410</v>
      </c>
      <c r="B310" s="26" t="s">
        <v>256</v>
      </c>
      <c r="C310" s="15">
        <v>848300</v>
      </c>
      <c r="D310" s="15"/>
      <c r="E310" s="15">
        <v>848300</v>
      </c>
      <c r="F310" s="15"/>
      <c r="G310" s="15"/>
      <c r="H310" s="170"/>
      <c r="I310" s="16"/>
      <c r="J310" s="16"/>
      <c r="K310" s="16"/>
      <c r="L310" s="16"/>
      <c r="M310" s="13"/>
      <c r="N310" s="215" t="e">
        <f t="shared" si="79"/>
        <v>#DIV/0!</v>
      </c>
      <c r="O310" s="215">
        <f t="shared" si="80"/>
        <v>0.1441679738160139</v>
      </c>
      <c r="Q310" s="11">
        <f t="shared" si="87"/>
        <v>0</v>
      </c>
    </row>
    <row r="311" spans="1:17" ht="12.75" hidden="1">
      <c r="A311" s="25">
        <v>781111411</v>
      </c>
      <c r="B311" s="26" t="s">
        <v>257</v>
      </c>
      <c r="C311" s="15">
        <v>32610</v>
      </c>
      <c r="D311" s="15"/>
      <c r="E311" s="15">
        <v>32610</v>
      </c>
      <c r="F311" s="15"/>
      <c r="G311" s="15"/>
      <c r="H311" s="170"/>
      <c r="I311" s="16"/>
      <c r="J311" s="16"/>
      <c r="K311" s="16"/>
      <c r="L311" s="16"/>
      <c r="M311" s="13"/>
      <c r="N311" s="215" t="e">
        <f t="shared" si="79"/>
        <v>#DIV/0!</v>
      </c>
      <c r="O311" s="215">
        <f t="shared" si="80"/>
        <v>0.005542046005116366</v>
      </c>
      <c r="Q311" s="11">
        <f t="shared" si="87"/>
        <v>0</v>
      </c>
    </row>
    <row r="312" spans="1:17" ht="12.75" hidden="1">
      <c r="A312" s="12"/>
      <c r="B312" s="12"/>
      <c r="C312" s="9"/>
      <c r="D312" s="9"/>
      <c r="E312" s="9"/>
      <c r="F312" s="9"/>
      <c r="G312" s="9"/>
      <c r="H312" s="171"/>
      <c r="I312" s="9"/>
      <c r="J312" s="9"/>
      <c r="K312" s="9"/>
      <c r="L312" s="10"/>
      <c r="M312" s="13"/>
      <c r="N312" s="215" t="e">
        <f t="shared" si="79"/>
        <v>#DIV/0!</v>
      </c>
      <c r="O312" s="215">
        <f t="shared" si="80"/>
        <v>0</v>
      </c>
      <c r="Q312" s="11">
        <f t="shared" si="87"/>
        <v>0</v>
      </c>
    </row>
    <row r="313" spans="1:17" ht="12.75" hidden="1">
      <c r="A313" s="66">
        <v>791111</v>
      </c>
      <c r="B313" s="66" t="s">
        <v>258</v>
      </c>
      <c r="C313" s="69">
        <v>23995788.18</v>
      </c>
      <c r="D313" s="69"/>
      <c r="E313" s="69"/>
      <c r="F313" s="69"/>
      <c r="G313" s="69"/>
      <c r="H313" s="172"/>
      <c r="I313" s="70"/>
      <c r="J313" s="70">
        <v>23995788.18</v>
      </c>
      <c r="K313" s="70"/>
      <c r="L313" s="16"/>
      <c r="M313" s="13"/>
      <c r="N313" s="215" t="e">
        <f t="shared" si="79"/>
        <v>#DIV/0!</v>
      </c>
      <c r="O313" s="215">
        <f t="shared" si="80"/>
        <v>4.078066912682843</v>
      </c>
      <c r="Q313" s="11">
        <f t="shared" si="87"/>
        <v>0</v>
      </c>
    </row>
    <row r="314" spans="1:17" ht="12.75">
      <c r="A314" s="12">
        <v>791100</v>
      </c>
      <c r="B314" s="12" t="s">
        <v>258</v>
      </c>
      <c r="C314" s="9">
        <v>23995788.18</v>
      </c>
      <c r="D314" s="9">
        <f aca="true" t="shared" si="92" ref="D314:L314">SUM(D313)</f>
        <v>0</v>
      </c>
      <c r="E314" s="9">
        <f t="shared" si="92"/>
        <v>0</v>
      </c>
      <c r="F314" s="9">
        <f t="shared" si="92"/>
        <v>0</v>
      </c>
      <c r="G314" s="9">
        <f t="shared" si="92"/>
        <v>0</v>
      </c>
      <c r="H314" s="171">
        <f t="shared" si="92"/>
        <v>0</v>
      </c>
      <c r="I314" s="9">
        <f t="shared" si="92"/>
        <v>0</v>
      </c>
      <c r="J314" s="9">
        <f t="shared" si="92"/>
        <v>23995788.18</v>
      </c>
      <c r="K314" s="9">
        <f t="shared" si="92"/>
        <v>0</v>
      </c>
      <c r="L314" s="9">
        <f t="shared" si="92"/>
        <v>0</v>
      </c>
      <c r="M314" s="13">
        <v>23995788.18</v>
      </c>
      <c r="N314" s="215">
        <f t="shared" si="79"/>
        <v>100</v>
      </c>
      <c r="O314" s="215">
        <f t="shared" si="80"/>
        <v>4.078066912682843</v>
      </c>
      <c r="Q314" s="11">
        <f t="shared" si="87"/>
        <v>0</v>
      </c>
    </row>
    <row r="315" spans="1:15" ht="12.75">
      <c r="A315" s="12">
        <v>812100</v>
      </c>
      <c r="B315" s="12" t="s">
        <v>275</v>
      </c>
      <c r="C315" s="9"/>
      <c r="D315" s="9"/>
      <c r="E315" s="9"/>
      <c r="F315" s="9"/>
      <c r="G315" s="9"/>
      <c r="H315" s="171"/>
      <c r="I315" s="9"/>
      <c r="J315" s="9"/>
      <c r="K315" s="9"/>
      <c r="L315" s="9"/>
      <c r="M315" s="13">
        <v>0</v>
      </c>
      <c r="N315" s="215">
        <v>0</v>
      </c>
      <c r="O315" s="215">
        <f t="shared" si="80"/>
        <v>0</v>
      </c>
    </row>
    <row r="316" spans="1:17" ht="13.5" thickBot="1">
      <c r="A316" s="199"/>
      <c r="B316" s="200" t="s">
        <v>259</v>
      </c>
      <c r="C316" s="201">
        <f>C259+C261+C262+C277+C283+C287+C289+C290+C314</f>
        <v>588410849.89</v>
      </c>
      <c r="D316" s="201">
        <f aca="true" t="shared" si="93" ref="D316:L316">D259+D261+D262+D277+D283+D287+D289+D290+D314</f>
        <v>495887124.85</v>
      </c>
      <c r="E316" s="201">
        <f t="shared" si="93"/>
        <v>5267050</v>
      </c>
      <c r="F316" s="201">
        <f t="shared" si="93"/>
        <v>153018.27</v>
      </c>
      <c r="G316" s="201">
        <f t="shared" si="93"/>
        <v>34516863.04999999</v>
      </c>
      <c r="H316" s="202">
        <f t="shared" si="93"/>
        <v>1573137.75</v>
      </c>
      <c r="I316" s="201">
        <f t="shared" si="93"/>
        <v>503810.73</v>
      </c>
      <c r="J316" s="201">
        <f t="shared" si="93"/>
        <v>23995788.18</v>
      </c>
      <c r="K316" s="201">
        <f t="shared" si="93"/>
        <v>204045.5</v>
      </c>
      <c r="L316" s="203">
        <f t="shared" si="93"/>
        <v>26310011.56</v>
      </c>
      <c r="M316" s="45">
        <f>M259+M261+M262+M277+M283+M287+M289+M290+M314+M315</f>
        <v>614140788.18</v>
      </c>
      <c r="N316" s="215">
        <f t="shared" si="79"/>
        <v>95.81041696216752</v>
      </c>
      <c r="O316" s="215">
        <f>C316*100/588410849.89</f>
        <v>100</v>
      </c>
      <c r="Q316" s="11">
        <f t="shared" si="87"/>
        <v>0</v>
      </c>
    </row>
    <row r="317" spans="1:13" ht="12.75">
      <c r="A317" s="71"/>
      <c r="B317" s="71"/>
      <c r="C317" s="91"/>
      <c r="D317" s="91"/>
      <c r="E317" s="91"/>
      <c r="F317" s="91"/>
      <c r="G317" s="91"/>
      <c r="H317" s="173"/>
      <c r="I317" s="91"/>
      <c r="J317" s="91"/>
      <c r="K317" s="91"/>
      <c r="L317" s="141"/>
      <c r="M317" s="11"/>
    </row>
    <row r="318" spans="1:17" ht="12.75">
      <c r="A318" s="140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1"/>
      <c r="Q318" s="11">
        <f t="shared" si="87"/>
        <v>0</v>
      </c>
    </row>
    <row r="319" spans="1:17" ht="12.75">
      <c r="A319" s="140"/>
      <c r="B319" s="140"/>
      <c r="C319" s="141"/>
      <c r="D319" s="141"/>
      <c r="E319" s="155"/>
      <c r="F319" s="156"/>
      <c r="G319" s="156"/>
      <c r="H319" s="191"/>
      <c r="I319" s="140"/>
      <c r="J319" s="140"/>
      <c r="K319" s="140"/>
      <c r="L319" s="140"/>
      <c r="M319" s="11"/>
      <c r="Q319" s="11">
        <f t="shared" si="87"/>
        <v>0</v>
      </c>
    </row>
    <row r="320" spans="3:17" ht="12.75">
      <c r="C320" s="157"/>
      <c r="Q320" s="11">
        <f t="shared" si="87"/>
        <v>0</v>
      </c>
    </row>
    <row r="321" spans="2:17" ht="12.75">
      <c r="B321" s="158" t="s">
        <v>144</v>
      </c>
      <c r="C321" s="159"/>
      <c r="D321" s="159"/>
      <c r="E321" s="158"/>
      <c r="F321" s="160"/>
      <c r="G321" s="160"/>
      <c r="H321" s="193"/>
      <c r="I321" s="161"/>
      <c r="J321" s="161"/>
      <c r="K321" s="161"/>
      <c r="L321" s="162"/>
      <c r="Q321" s="11">
        <f t="shared" si="87"/>
        <v>0</v>
      </c>
    </row>
    <row r="322" spans="3:17" ht="13.5" thickBot="1">
      <c r="C322" s="162"/>
      <c r="D322" s="162"/>
      <c r="E322" s="162"/>
      <c r="F322" s="162"/>
      <c r="G322" s="162"/>
      <c r="H322" s="194"/>
      <c r="I322" s="162"/>
      <c r="J322" s="162"/>
      <c r="K322" s="162"/>
      <c r="Q322" s="11">
        <f t="shared" si="87"/>
        <v>0</v>
      </c>
    </row>
    <row r="323" spans="2:17" ht="34.5" thickBot="1">
      <c r="B323" s="51" t="s">
        <v>1</v>
      </c>
      <c r="C323" s="51" t="s">
        <v>2</v>
      </c>
      <c r="D323" s="51" t="s">
        <v>126</v>
      </c>
      <c r="E323" s="74" t="s">
        <v>93</v>
      </c>
      <c r="F323" s="74" t="s">
        <v>124</v>
      </c>
      <c r="G323" s="51" t="s">
        <v>94</v>
      </c>
      <c r="H323" s="195" t="s">
        <v>95</v>
      </c>
      <c r="I323" s="51" t="s">
        <v>96</v>
      </c>
      <c r="J323" s="163" t="s">
        <v>156</v>
      </c>
      <c r="K323" s="164" t="s">
        <v>122</v>
      </c>
      <c r="L323" s="51" t="s">
        <v>107</v>
      </c>
      <c r="M323" s="209" t="s">
        <v>274</v>
      </c>
      <c r="Q323" s="11" t="e">
        <f t="shared" si="87"/>
        <v>#VALUE!</v>
      </c>
    </row>
    <row r="324" spans="2:18" s="216" customFormat="1" ht="12.75">
      <c r="B324" s="228" t="s">
        <v>278</v>
      </c>
      <c r="C324" s="292">
        <f aca="true" t="shared" si="94" ref="C324:M324">C316</f>
        <v>588410849.89</v>
      </c>
      <c r="D324" s="292">
        <f t="shared" si="94"/>
        <v>495887124.85</v>
      </c>
      <c r="E324" s="292">
        <f t="shared" si="94"/>
        <v>5267050</v>
      </c>
      <c r="F324" s="292">
        <f t="shared" si="94"/>
        <v>153018.27</v>
      </c>
      <c r="G324" s="292">
        <f t="shared" si="94"/>
        <v>34516863.04999999</v>
      </c>
      <c r="H324" s="292">
        <f t="shared" si="94"/>
        <v>1573137.75</v>
      </c>
      <c r="I324" s="292">
        <f t="shared" si="94"/>
        <v>503810.73</v>
      </c>
      <c r="J324" s="292">
        <f t="shared" si="94"/>
        <v>23995788.18</v>
      </c>
      <c r="K324" s="292">
        <f t="shared" si="94"/>
        <v>204045.5</v>
      </c>
      <c r="L324" s="292">
        <f t="shared" si="94"/>
        <v>26310011.56</v>
      </c>
      <c r="M324" s="292">
        <f t="shared" si="94"/>
        <v>614140788.18</v>
      </c>
      <c r="Q324" s="217">
        <f t="shared" si="87"/>
        <v>0</v>
      </c>
      <c r="R324" s="217"/>
    </row>
    <row r="325" spans="2:18" s="216" customFormat="1" ht="12.75">
      <c r="B325" s="293" t="s">
        <v>279</v>
      </c>
      <c r="C325" s="215">
        <f aca="true" t="shared" si="95" ref="C325:M325">C204</f>
        <v>566749458.8900001</v>
      </c>
      <c r="D325" s="215">
        <f t="shared" si="95"/>
        <v>492916771.6</v>
      </c>
      <c r="E325" s="215">
        <f t="shared" si="95"/>
        <v>5267050</v>
      </c>
      <c r="F325" s="215">
        <f t="shared" si="95"/>
        <v>59596</v>
      </c>
      <c r="G325" s="215">
        <f t="shared" si="95"/>
        <v>35576991.760000005</v>
      </c>
      <c r="H325" s="215">
        <f t="shared" si="95"/>
        <v>1206767.47</v>
      </c>
      <c r="I325" s="215">
        <f t="shared" si="95"/>
        <v>436249.2</v>
      </c>
      <c r="J325" s="215">
        <f t="shared" si="95"/>
        <v>23995788.169999998</v>
      </c>
      <c r="K325" s="215">
        <f t="shared" si="95"/>
        <v>19095.6</v>
      </c>
      <c r="L325" s="215">
        <f t="shared" si="95"/>
        <v>7271149.09</v>
      </c>
      <c r="M325" s="215">
        <f t="shared" si="95"/>
        <v>586618888.1800001</v>
      </c>
      <c r="Q325" s="217">
        <f t="shared" si="87"/>
        <v>8.009374141693115E-08</v>
      </c>
      <c r="R325" s="217"/>
    </row>
    <row r="326" spans="2:18" s="216" customFormat="1" ht="12.75">
      <c r="B326" s="228" t="s">
        <v>280</v>
      </c>
      <c r="C326" s="292">
        <f aca="true" t="shared" si="96" ref="C326:M326">C249</f>
        <v>21145487.1</v>
      </c>
      <c r="D326" s="292">
        <f t="shared" si="96"/>
        <v>0</v>
      </c>
      <c r="E326" s="292">
        <f t="shared" si="96"/>
        <v>0</v>
      </c>
      <c r="F326" s="292">
        <f t="shared" si="96"/>
        <v>0</v>
      </c>
      <c r="G326" s="292">
        <f t="shared" si="96"/>
        <v>2025225.51</v>
      </c>
      <c r="H326" s="292">
        <f t="shared" si="96"/>
        <v>0</v>
      </c>
      <c r="I326" s="292">
        <f t="shared" si="96"/>
        <v>0</v>
      </c>
      <c r="J326" s="292">
        <f t="shared" si="96"/>
        <v>0</v>
      </c>
      <c r="K326" s="292">
        <f t="shared" si="96"/>
        <v>81400</v>
      </c>
      <c r="L326" s="292">
        <f t="shared" si="96"/>
        <v>19038861.59</v>
      </c>
      <c r="M326" s="292">
        <f t="shared" si="96"/>
        <v>27521900</v>
      </c>
      <c r="Q326" s="217">
        <f t="shared" si="87"/>
        <v>0</v>
      </c>
      <c r="R326" s="217"/>
    </row>
    <row r="327" spans="2:17" ht="12.75">
      <c r="B327" s="78" t="s">
        <v>145</v>
      </c>
      <c r="C327" s="5">
        <f>C325+C326</f>
        <v>587894945.9900001</v>
      </c>
      <c r="D327" s="5">
        <f aca="true" t="shared" si="97" ref="D327:M327">D325+D326</f>
        <v>492916771.6</v>
      </c>
      <c r="E327" s="5">
        <f t="shared" si="97"/>
        <v>5267050</v>
      </c>
      <c r="F327" s="5">
        <f t="shared" si="97"/>
        <v>59596</v>
      </c>
      <c r="G327" s="5">
        <f t="shared" si="97"/>
        <v>37602217.27</v>
      </c>
      <c r="H327" s="196">
        <f t="shared" si="97"/>
        <v>1206767.47</v>
      </c>
      <c r="I327" s="5">
        <f t="shared" si="97"/>
        <v>436249.2</v>
      </c>
      <c r="J327" s="5">
        <f t="shared" si="97"/>
        <v>23995788.169999998</v>
      </c>
      <c r="K327" s="5">
        <f t="shared" si="97"/>
        <v>100495.6</v>
      </c>
      <c r="L327" s="5">
        <f t="shared" si="97"/>
        <v>26310010.68</v>
      </c>
      <c r="M327" s="5">
        <f t="shared" si="97"/>
        <v>614140788.1800001</v>
      </c>
      <c r="Q327" s="11">
        <f t="shared" si="87"/>
        <v>1.0058283805847168E-07</v>
      </c>
    </row>
    <row r="328" spans="2:17" ht="12.75">
      <c r="B328" s="4" t="s">
        <v>146</v>
      </c>
      <c r="C328" s="5">
        <f>C324-C327</f>
        <v>515903.89999985695</v>
      </c>
      <c r="D328" s="5">
        <f aca="true" t="shared" si="98" ref="D328:L328">D324-D327</f>
        <v>2970353.25</v>
      </c>
      <c r="E328" s="5">
        <f t="shared" si="98"/>
        <v>0</v>
      </c>
      <c r="F328" s="5">
        <f t="shared" si="98"/>
        <v>93422.26999999999</v>
      </c>
      <c r="G328" s="5">
        <f t="shared" si="98"/>
        <v>-3085354.2200000137</v>
      </c>
      <c r="H328" s="196">
        <f t="shared" si="98"/>
        <v>366370.28</v>
      </c>
      <c r="I328" s="5">
        <f t="shared" si="98"/>
        <v>67561.52999999997</v>
      </c>
      <c r="J328" s="5">
        <f t="shared" si="98"/>
        <v>0.010000001639127731</v>
      </c>
      <c r="K328" s="5">
        <f>K324-K327</f>
        <v>103549.9</v>
      </c>
      <c r="L328" s="5">
        <f t="shared" si="98"/>
        <v>0.8799999989569187</v>
      </c>
      <c r="M328" s="49"/>
      <c r="Q328" s="11">
        <f t="shared" si="87"/>
        <v>-1.2994860298931599E-07</v>
      </c>
    </row>
    <row r="329" spans="2:17" ht="12.75" hidden="1">
      <c r="B329" s="78"/>
      <c r="C329" s="14"/>
      <c r="D329" s="165"/>
      <c r="E329" s="165"/>
      <c r="F329" s="165"/>
      <c r="G329" s="165"/>
      <c r="H329" s="197"/>
      <c r="I329" s="165"/>
      <c r="J329" s="165"/>
      <c r="K329" s="165"/>
      <c r="L329" s="165"/>
      <c r="M329" s="49"/>
      <c r="Q329" s="11">
        <f t="shared" si="87"/>
        <v>0</v>
      </c>
    </row>
    <row r="330" spans="2:17" ht="12.75" hidden="1">
      <c r="B330" s="166"/>
      <c r="C330" s="14"/>
      <c r="D330" s="165"/>
      <c r="E330" s="165"/>
      <c r="F330" s="165"/>
      <c r="G330" s="165"/>
      <c r="H330" s="197"/>
      <c r="I330" s="165"/>
      <c r="J330" s="165"/>
      <c r="K330" s="165"/>
      <c r="L330" s="165"/>
      <c r="M330" s="49"/>
      <c r="Q330" s="11">
        <f t="shared" si="87"/>
        <v>0</v>
      </c>
    </row>
    <row r="331" spans="2:17" ht="12.75" hidden="1">
      <c r="B331" s="166"/>
      <c r="C331" s="14"/>
      <c r="D331" s="165"/>
      <c r="E331" s="165"/>
      <c r="F331" s="165"/>
      <c r="G331" s="14"/>
      <c r="H331" s="197"/>
      <c r="I331" s="165"/>
      <c r="J331" s="165"/>
      <c r="K331" s="165"/>
      <c r="L331" s="165"/>
      <c r="M331" s="49"/>
      <c r="Q331" s="11">
        <f t="shared" si="87"/>
        <v>0</v>
      </c>
    </row>
    <row r="332" spans="2:17" ht="12.75" hidden="1">
      <c r="B332" s="167"/>
      <c r="C332" s="14"/>
      <c r="D332" s="165"/>
      <c r="E332" s="165"/>
      <c r="F332" s="165"/>
      <c r="G332" s="165"/>
      <c r="H332" s="197"/>
      <c r="I332" s="165"/>
      <c r="J332" s="165"/>
      <c r="K332" s="165"/>
      <c r="L332" s="165"/>
      <c r="M332" s="49"/>
      <c r="Q332" s="11">
        <f t="shared" si="87"/>
        <v>0</v>
      </c>
    </row>
    <row r="333" spans="2:17" ht="22.5" hidden="1">
      <c r="B333" s="6" t="s">
        <v>147</v>
      </c>
      <c r="C333" s="5">
        <f>C328+C329</f>
        <v>515903.89999985695</v>
      </c>
      <c r="D333" s="165"/>
      <c r="E333" s="165"/>
      <c r="F333" s="165"/>
      <c r="G333" s="165"/>
      <c r="H333" s="197"/>
      <c r="I333" s="165"/>
      <c r="J333" s="165"/>
      <c r="K333" s="165"/>
      <c r="L333" s="165"/>
      <c r="M333" s="49"/>
      <c r="Q333" s="11">
        <f t="shared" si="87"/>
        <v>515903.89999985695</v>
      </c>
    </row>
    <row r="334" spans="2:17" ht="12.75">
      <c r="B334" s="291" t="s">
        <v>287</v>
      </c>
      <c r="C334" s="5">
        <f>C335+C336+C337+C338</f>
        <v>7569960.550000001</v>
      </c>
      <c r="D334" s="49"/>
      <c r="E334" s="49"/>
      <c r="F334" s="49"/>
      <c r="G334" s="49"/>
      <c r="H334" s="288"/>
      <c r="I334" s="49"/>
      <c r="J334" s="49"/>
      <c r="K334" s="49"/>
      <c r="L334" s="49"/>
      <c r="M334" s="49"/>
      <c r="Q334" s="11">
        <f t="shared" si="87"/>
        <v>7569960.550000001</v>
      </c>
    </row>
    <row r="335" spans="2:13" ht="12.75">
      <c r="B335" s="289" t="s">
        <v>310</v>
      </c>
      <c r="C335" s="295">
        <v>4704312.46</v>
      </c>
      <c r="D335" s="287"/>
      <c r="E335" s="287"/>
      <c r="F335" s="287"/>
      <c r="G335" s="287"/>
      <c r="H335" s="287"/>
      <c r="I335" s="287"/>
      <c r="J335" s="287"/>
      <c r="K335" s="287"/>
      <c r="L335" s="287"/>
      <c r="M335" s="49"/>
    </row>
    <row r="336" spans="2:13" ht="12.75">
      <c r="B336" s="289" t="s">
        <v>311</v>
      </c>
      <c r="C336" s="295">
        <v>209509.49</v>
      </c>
      <c r="D336" s="49"/>
      <c r="E336" s="49"/>
      <c r="F336" s="49"/>
      <c r="G336" s="49"/>
      <c r="H336" s="288"/>
      <c r="I336" s="49"/>
      <c r="J336" s="49"/>
      <c r="K336" s="49"/>
      <c r="L336" s="49"/>
      <c r="M336" s="49"/>
    </row>
    <row r="337" spans="2:13" ht="12.75">
      <c r="B337" s="289" t="s">
        <v>312</v>
      </c>
      <c r="C337" s="295">
        <v>27159.44</v>
      </c>
      <c r="D337" s="49"/>
      <c r="E337" s="49"/>
      <c r="F337" s="49"/>
      <c r="G337" s="49"/>
      <c r="H337" s="288"/>
      <c r="I337" s="49"/>
      <c r="J337" s="49"/>
      <c r="K337" s="49"/>
      <c r="L337" s="49"/>
      <c r="M337" s="49"/>
    </row>
    <row r="338" spans="2:13" ht="25.5">
      <c r="B338" s="290" t="s">
        <v>288</v>
      </c>
      <c r="C338" s="14">
        <v>2628979.16</v>
      </c>
      <c r="D338" s="49"/>
      <c r="E338" s="49"/>
      <c r="F338" s="49"/>
      <c r="G338" s="49"/>
      <c r="H338" s="288"/>
      <c r="I338" s="49"/>
      <c r="J338" s="49"/>
      <c r="K338" s="49"/>
      <c r="L338" s="49"/>
      <c r="M338" s="49"/>
    </row>
    <row r="339" spans="2:13" ht="38.25">
      <c r="B339" s="290" t="s">
        <v>290</v>
      </c>
      <c r="C339" s="14">
        <v>789189.13</v>
      </c>
      <c r="D339" s="49"/>
      <c r="E339" s="49"/>
      <c r="F339" s="49"/>
      <c r="G339" s="49"/>
      <c r="H339" s="288"/>
      <c r="I339" s="49"/>
      <c r="J339" s="49"/>
      <c r="K339" s="49"/>
      <c r="L339" s="49"/>
      <c r="M339" s="49"/>
    </row>
    <row r="340" spans="2:13" ht="12.75">
      <c r="B340" s="290" t="s">
        <v>291</v>
      </c>
      <c r="C340" s="14">
        <v>-717620</v>
      </c>
      <c r="D340" s="49"/>
      <c r="E340" s="49"/>
      <c r="F340" s="49"/>
      <c r="G340" s="49"/>
      <c r="H340" s="288"/>
      <c r="I340" s="49"/>
      <c r="J340" s="49"/>
      <c r="K340" s="49"/>
      <c r="L340" s="49"/>
      <c r="M340" s="49"/>
    </row>
    <row r="341" spans="2:13" ht="25.5">
      <c r="B341" s="290" t="s">
        <v>292</v>
      </c>
      <c r="C341" s="14">
        <v>-2676.67</v>
      </c>
      <c r="D341" s="49"/>
      <c r="E341" s="49"/>
      <c r="F341" s="49"/>
      <c r="G341" s="49"/>
      <c r="H341" s="288"/>
      <c r="I341" s="49"/>
      <c r="J341" s="49"/>
      <c r="K341" s="49"/>
      <c r="L341" s="49"/>
      <c r="M341" s="49"/>
    </row>
    <row r="342" spans="2:13" ht="12.75">
      <c r="B342" s="286" t="s">
        <v>289</v>
      </c>
      <c r="C342" s="14">
        <f>C328+C334+C339+C340+C341</f>
        <v>8154756.909999859</v>
      </c>
      <c r="D342" s="49"/>
      <c r="E342" s="49"/>
      <c r="F342" s="49"/>
      <c r="G342" s="49"/>
      <c r="H342" s="288"/>
      <c r="I342" s="49"/>
      <c r="J342" s="49"/>
      <c r="K342" s="49"/>
      <c r="L342" s="49"/>
      <c r="M342" s="49"/>
    </row>
    <row r="343" spans="3:12" ht="12.75">
      <c r="C343" s="11"/>
      <c r="D343" s="11"/>
      <c r="E343" s="11"/>
      <c r="F343" s="11"/>
      <c r="G343" s="11"/>
      <c r="H343" s="198"/>
      <c r="I343" s="11"/>
      <c r="J343" s="11"/>
      <c r="K343" s="11"/>
      <c r="L343" s="11"/>
    </row>
    <row r="344" ht="12.75">
      <c r="C344" s="11"/>
    </row>
    <row r="346" ht="12.75">
      <c r="B346" s="294"/>
    </row>
    <row r="347" spans="2:3" ht="12.75">
      <c r="B347" s="294"/>
      <c r="C347" s="11"/>
    </row>
    <row r="348" spans="2:3" ht="12.75">
      <c r="B348" s="294"/>
      <c r="C348" s="11"/>
    </row>
    <row r="349" ht="12.75">
      <c r="C349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rowBreaks count="4" manualBreakCount="4">
    <brk id="174" max="14" man="1"/>
    <brk id="208" max="255" man="1"/>
    <brk id="253" max="14" man="1"/>
    <brk id="319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goca</cp:lastModifiedBy>
  <cp:lastPrinted>2017-02-27T12:53:31Z</cp:lastPrinted>
  <dcterms:created xsi:type="dcterms:W3CDTF">2015-02-12T07:59:25Z</dcterms:created>
  <dcterms:modified xsi:type="dcterms:W3CDTF">2017-03-27T11:18:04Z</dcterms:modified>
  <cp:category/>
  <cp:version/>
  <cp:contentType/>
  <cp:contentStatus/>
</cp:coreProperties>
</file>